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comments8.xml" ContentType="application/vnd.openxmlformats-officedocument.spreadsheetml.comments+xml"/>
  <Override PartName="/xl/threadedComments/threadedComment1.xml" ContentType="application/vnd.ms-excel.threadedcomments+xml"/>
  <Override PartName="/xl/drawings/drawing13.xml" ContentType="application/vnd.openxmlformats-officedocument.drawing+xml"/>
  <Override PartName="/xl/comments9.xml" ContentType="application/vnd.openxmlformats-officedocument.spreadsheetml.comments+xml"/>
  <Override PartName="/xl/drawings/drawing14.xml" ContentType="application/vnd.openxmlformats-officedocument.drawing+xml"/>
  <Override PartName="/xl/comments10.xml" ContentType="application/vnd.openxmlformats-officedocument.spreadsheetml.comments+xml"/>
  <Override PartName="/xl/drawings/drawing15.xml" ContentType="application/vnd.openxmlformats-officedocument.drawing+xml"/>
  <Override PartName="/xl/comments11.xml" ContentType="application/vnd.openxmlformats-officedocument.spreadsheetml.comments+xml"/>
  <Override PartName="/xl/drawings/drawing16.xml" ContentType="application/vnd.openxmlformats-officedocument.drawing+xml"/>
  <Override PartName="/xl/comments12.xml" ContentType="application/vnd.openxmlformats-officedocument.spreadsheetml.comments+xml"/>
  <Override PartName="/xl/drawings/drawing17.xml" ContentType="application/vnd.openxmlformats-officedocument.drawing+xml"/>
  <Override PartName="/xl/comments13.xml" ContentType="application/vnd.openxmlformats-officedocument.spreadsheetml.comments+xml"/>
  <Override PartName="/xl/drawings/drawing18.xml" ContentType="application/vnd.openxmlformats-officedocument.drawing+xml"/>
  <Override PartName="/xl/comments14.xml" ContentType="application/vnd.openxmlformats-officedocument.spreadsheetml.comments+xml"/>
  <Override PartName="/xl/drawings/drawing19.xml" ContentType="application/vnd.openxmlformats-officedocument.drawing+xml"/>
  <Override PartName="/xl/comments15.xml" ContentType="application/vnd.openxmlformats-officedocument.spreadsheetml.comments+xml"/>
  <Override PartName="/xl/drawings/drawing20.xml" ContentType="application/vnd.openxmlformats-officedocument.drawing+xml"/>
  <Override PartName="/xl/comments16.xml" ContentType="application/vnd.openxmlformats-officedocument.spreadsheetml.comments+xml"/>
  <Override PartName="/xl/drawings/drawing21.xml" ContentType="application/vnd.openxmlformats-officedocument.drawing+xml"/>
  <Override PartName="/xl/comments17.xml" ContentType="application/vnd.openxmlformats-officedocument.spreadsheetml.comments+xml"/>
  <Override PartName="/xl/drawings/drawing22.xml" ContentType="application/vnd.openxmlformats-officedocument.drawing+xml"/>
  <Override PartName="/xl/comments18.xml" ContentType="application/vnd.openxmlformats-officedocument.spreadsheetml.comments+xml"/>
  <Override PartName="/xl/drawings/drawing23.xml" ContentType="application/vnd.openxmlformats-officedocument.drawing+xml"/>
  <Override PartName="/xl/comments19.xml" ContentType="application/vnd.openxmlformats-officedocument.spreadsheetml.comments+xml"/>
  <Override PartName="/xl/threadedComments/threadedComment2.xml" ContentType="application/vnd.ms-excel.threadedcomments+xml"/>
  <Override PartName="/xl/drawings/drawing24.xml" ContentType="application/vnd.openxmlformats-officedocument.drawing+xml"/>
  <Override PartName="/xl/comments20.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mc:AlternateContent xmlns:mc="http://schemas.openxmlformats.org/markup-compatibility/2006">
    <mc:Choice Requires="x15">
      <x15ac:absPath xmlns:x15ac="http://schemas.microsoft.com/office/spreadsheetml/2010/11/ac" url="https://chapinhall.sharepoint.com/sites/ffpsa/Shared Documents/EBP Exploration and Cost Tool Project/"/>
    </mc:Choice>
  </mc:AlternateContent>
  <xr:revisionPtr revIDLastSave="269" documentId="8_{58BE3330-EE74-4679-8BA0-AAE9A70FDCB5}" xr6:coauthVersionLast="47" xr6:coauthVersionMax="47" xr10:uidLastSave="{0AFB0714-85DF-4F22-89DC-F74E42AF6478}"/>
  <bookViews>
    <workbookView xWindow="-108" yWindow="-108" windowWidth="23256" windowHeight="12576" tabRatio="797" activeTab="2" xr2:uid="{00000000-000D-0000-FFFF-FFFF00000000}"/>
  </bookViews>
  <sheets>
    <sheet name="Table of Contents" sheetId="23" r:id="rId1"/>
    <sheet name="Tool Guide" sheetId="24" r:id="rId2"/>
    <sheet name="Model Overviews" sheetId="54" r:id="rId3"/>
    <sheet name="Model Selection " sheetId="25" r:id="rId4"/>
    <sheet name="BSFT" sheetId="41" r:id="rId5"/>
    <sheet name="Child First" sheetId="49" r:id="rId6"/>
    <sheet name="CPP" sheetId="51" r:id="rId7"/>
    <sheet name="FCU" sheetId="31" r:id="rId8"/>
    <sheet name="Family Spirit" sheetId="26" r:id="rId9"/>
    <sheet name="HFA" sheetId="16" r:id="rId10"/>
    <sheet name="Homebuilders" sheetId="58" r:id="rId11"/>
    <sheet name="FFT, Inc." sheetId="47" r:id="rId12"/>
    <sheet name="FFT, Partners " sheetId="57" r:id="rId13"/>
    <sheet name="IY-School Age" sheetId="44" r:id="rId14"/>
    <sheet name="IY-Toddler" sheetId="45" r:id="rId15"/>
    <sheet name="NFP" sheetId="55" r:id="rId16"/>
    <sheet name="Intercept" sheetId="48" r:id="rId17"/>
    <sheet name="MI" sheetId="15" r:id="rId18"/>
    <sheet name="MST" sheetId="18" r:id="rId19"/>
    <sheet name="PAT" sheetId="38" r:id="rId20"/>
    <sheet name="PCIT" sheetId="22" r:id="rId21"/>
    <sheet name="SafeCare" sheetId="52" r:id="rId22"/>
    <sheet name="Triple P" sheetId="60" r:id="rId23"/>
    <sheet name="TF-CBT" sheetId="36" r:id="rId24"/>
  </sheets>
  <definedNames>
    <definedName name="_Hlk58402969" localSheetId="17">MI!#REF!</definedName>
    <definedName name="_xlnm.Print_Area" localSheetId="4">BSFT!$A$1:$G$96</definedName>
    <definedName name="_xlnm.Print_Area" localSheetId="5">'Child First'!$A$1:$F$91</definedName>
    <definedName name="_xlnm.Print_Area" localSheetId="6">CPP!$A$1:$E$78</definedName>
    <definedName name="_xlnm.Print_Area" localSheetId="8">'Family Spirit'!$A$1:$F$89</definedName>
    <definedName name="_xlnm.Print_Area" localSheetId="7">FCU!$A$1:$E$80</definedName>
    <definedName name="_xlnm.Print_Area" localSheetId="11">'FFT, Inc.'!$A$1:$G$131</definedName>
    <definedName name="_xlnm.Print_Area" localSheetId="9">HFA!$A$1:$G$93</definedName>
    <definedName name="_xlnm.Print_Area" localSheetId="10">Homebuilders!$A$1:$G$91</definedName>
    <definedName name="_xlnm.Print_Area" localSheetId="16">Intercept!$A$1:$E$70</definedName>
    <definedName name="_xlnm.Print_Area" localSheetId="13">'IY-School Age'!$A$1:$E$83</definedName>
    <definedName name="_xlnm.Print_Area" localSheetId="14">'IY-Toddler'!$A$1:$E$85</definedName>
    <definedName name="_xlnm.Print_Area" localSheetId="17">MI!$A$1:$F$97</definedName>
    <definedName name="_xlnm.Print_Area" localSheetId="2">'Model Overviews'!$A$2:$O$22</definedName>
    <definedName name="_xlnm.Print_Area" localSheetId="18">MST!$A$1:$E$68</definedName>
    <definedName name="_xlnm.Print_Area" localSheetId="15">NFP!$A$1:$F$91</definedName>
    <definedName name="_xlnm.Print_Area" localSheetId="19">PAT!$A$1:$F$100</definedName>
    <definedName name="_xlnm.Print_Area" localSheetId="20">PCIT!$A$1:$E$71</definedName>
    <definedName name="_xlnm.Print_Area" localSheetId="0">'Table of Contents'!$A$1:$G$41</definedName>
    <definedName name="_xlnm.Print_Area" localSheetId="23">'TF-CBT'!$A$1:$E$67</definedName>
    <definedName name="_xlnm.Print_Area" localSheetId="1">'Tool Guide'!$B$3:$B$33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60" l="1"/>
  <c r="C12" i="60"/>
  <c r="D32" i="60"/>
  <c r="D34" i="60" s="1"/>
  <c r="D33" i="60"/>
  <c r="D38" i="60"/>
  <c r="D40" i="60"/>
  <c r="D45" i="60"/>
  <c r="D61" i="60" s="1"/>
  <c r="D48" i="60"/>
  <c r="D51" i="60"/>
  <c r="D54" i="60"/>
  <c r="D57" i="60"/>
  <c r="D58" i="60"/>
  <c r="D59" i="60"/>
  <c r="D67" i="60"/>
  <c r="D68" i="60"/>
  <c r="D69" i="60"/>
  <c r="D35" i="60" l="1"/>
  <c r="D63" i="60" s="1"/>
  <c r="D70" i="60" l="1"/>
  <c r="D72" i="60" s="1"/>
  <c r="D74" i="60" s="1"/>
  <c r="D75" i="60" s="1"/>
  <c r="F60" i="58" l="1"/>
  <c r="F59" i="58"/>
  <c r="F58" i="58"/>
  <c r="F57" i="58"/>
  <c r="E60" i="58"/>
  <c r="E59" i="58"/>
  <c r="E58" i="58"/>
  <c r="E57" i="58"/>
  <c r="E46" i="58"/>
  <c r="E48" i="58"/>
  <c r="E47" i="58"/>
  <c r="E34" i="58"/>
  <c r="D34" i="58"/>
  <c r="D45" i="41"/>
  <c r="C8" i="58"/>
  <c r="D67" i="58" s="1"/>
  <c r="C10" i="58"/>
  <c r="E67" i="58" s="1"/>
  <c r="C15" i="58"/>
  <c r="D57" i="58" s="1"/>
  <c r="D15" i="58"/>
  <c r="E15" i="58"/>
  <c r="F15" i="58"/>
  <c r="D60" i="58" s="1"/>
  <c r="D64" i="58"/>
  <c r="E64" i="58"/>
  <c r="F64" i="58"/>
  <c r="D65" i="58"/>
  <c r="E65" i="58"/>
  <c r="F65" i="58"/>
  <c r="D66" i="58"/>
  <c r="E66" i="58"/>
  <c r="F66" i="58"/>
  <c r="F63" i="58" l="1"/>
  <c r="D59" i="58"/>
  <c r="D58" i="58"/>
  <c r="C11" i="58"/>
  <c r="D51" i="58" s="1"/>
  <c r="D38" i="58"/>
  <c r="F51" i="58"/>
  <c r="F53" i="58" s="1"/>
  <c r="E31" i="58"/>
  <c r="D32" i="58"/>
  <c r="E33" i="58"/>
  <c r="E32" i="58"/>
  <c r="E51" i="58"/>
  <c r="D37" i="58"/>
  <c r="D36" i="58"/>
  <c r="F67" i="58"/>
  <c r="D63" i="58"/>
  <c r="E63" i="58"/>
  <c r="D39" i="58"/>
  <c r="F73" i="57"/>
  <c r="E73" i="57"/>
  <c r="E37" i="57"/>
  <c r="C11" i="57"/>
  <c r="D16" i="57"/>
  <c r="C9" i="57" s="1"/>
  <c r="D32" i="57"/>
  <c r="D48" i="57" s="1"/>
  <c r="D33" i="57"/>
  <c r="E39" i="57"/>
  <c r="E48" i="57" s="1"/>
  <c r="E40" i="57"/>
  <c r="F43" i="57"/>
  <c r="F48" i="57" s="1"/>
  <c r="F45" i="57"/>
  <c r="F46" i="57"/>
  <c r="D52" i="57"/>
  <c r="E52" i="57"/>
  <c r="F52" i="57"/>
  <c r="D58" i="57"/>
  <c r="E58" i="57"/>
  <c r="F58" i="57"/>
  <c r="D59" i="57"/>
  <c r="E59" i="57"/>
  <c r="F59" i="57"/>
  <c r="D60" i="57"/>
  <c r="E60" i="57"/>
  <c r="F60" i="57"/>
  <c r="D35" i="55"/>
  <c r="D78" i="38"/>
  <c r="D46" i="58" l="1"/>
  <c r="E41" i="58"/>
  <c r="D61" i="58"/>
  <c r="D69" i="58" s="1"/>
  <c r="E43" i="58"/>
  <c r="E61" i="58"/>
  <c r="E69" i="58" s="1"/>
  <c r="D33" i="58"/>
  <c r="D31" i="58"/>
  <c r="E42" i="58"/>
  <c r="F61" i="58"/>
  <c r="F69" i="58" s="1"/>
  <c r="F71" i="58" s="1"/>
  <c r="F75" i="58" s="1"/>
  <c r="F77" i="58" s="1"/>
  <c r="F80" i="58" s="1"/>
  <c r="F81" i="58" s="1"/>
  <c r="D57" i="57"/>
  <c r="E57" i="57"/>
  <c r="F57" i="57"/>
  <c r="F53" i="57"/>
  <c r="E53" i="57"/>
  <c r="E54" i="57" s="1"/>
  <c r="E61" i="57" s="1"/>
  <c r="E63" i="57" s="1"/>
  <c r="E67" i="57" s="1"/>
  <c r="E69" i="57" s="1"/>
  <c r="E72" i="57" s="1"/>
  <c r="C10" i="57"/>
  <c r="F54" i="57"/>
  <c r="D53" i="57"/>
  <c r="D54" i="57" s="1"/>
  <c r="E53" i="58" l="1"/>
  <c r="E71" i="58" s="1"/>
  <c r="E75" i="58" s="1"/>
  <c r="E77" i="58" s="1"/>
  <c r="E80" i="58" s="1"/>
  <c r="E81" i="58" s="1"/>
  <c r="D53" i="58"/>
  <c r="D71" i="58" s="1"/>
  <c r="D75" i="58" s="1"/>
  <c r="D77" i="58" s="1"/>
  <c r="D61" i="57"/>
  <c r="D63" i="57" s="1"/>
  <c r="D67" i="57" s="1"/>
  <c r="D69" i="57" s="1"/>
  <c r="D72" i="57" s="1"/>
  <c r="F61" i="57"/>
  <c r="F63" i="57" s="1"/>
  <c r="F67" i="57" s="1"/>
  <c r="F69" i="57" s="1"/>
  <c r="F72" i="57" s="1"/>
  <c r="D80" i="58" l="1"/>
  <c r="D81" i="58" s="1"/>
  <c r="D73" i="57"/>
  <c r="D74" i="57"/>
  <c r="D49" i="55" l="1"/>
  <c r="E44" i="55"/>
  <c r="E40" i="55"/>
  <c r="D40" i="55"/>
  <c r="C10" i="55"/>
  <c r="F14" i="55"/>
  <c r="E58" i="55" s="1"/>
  <c r="C14" i="55"/>
  <c r="D31" i="55" s="1"/>
  <c r="D30" i="55" l="1"/>
  <c r="D55" i="55"/>
  <c r="D56" i="55"/>
  <c r="D41" i="55"/>
  <c r="E41" i="55" s="1"/>
  <c r="D42" i="55"/>
  <c r="E42" i="55" s="1"/>
  <c r="D34" i="55"/>
  <c r="D58" i="55"/>
  <c r="D43" i="55"/>
  <c r="D45" i="55"/>
  <c r="D46" i="55"/>
  <c r="E55" i="55"/>
  <c r="E56" i="55"/>
  <c r="D48" i="55"/>
  <c r="E48" i="55" s="1"/>
  <c r="C8" i="55"/>
  <c r="C11" i="55" l="1"/>
  <c r="E45" i="55"/>
  <c r="E14" i="55"/>
  <c r="D32" i="55"/>
  <c r="E34" i="55"/>
  <c r="D37" i="55"/>
  <c r="E43" i="55"/>
  <c r="E46" i="55"/>
  <c r="E49" i="55"/>
  <c r="D61" i="55"/>
  <c r="E61" i="55"/>
  <c r="D62" i="55"/>
  <c r="E62" i="55"/>
  <c r="D15" i="47"/>
  <c r="C9" i="47" s="1"/>
  <c r="D29" i="18"/>
  <c r="D28" i="18"/>
  <c r="D30" i="18"/>
  <c r="E57" i="55" l="1"/>
  <c r="E59" i="55" s="1"/>
  <c r="D57" i="55"/>
  <c r="D59" i="55" s="1"/>
  <c r="D64" i="55" s="1"/>
  <c r="D38" i="55"/>
  <c r="D47" i="55"/>
  <c r="E47" i="55"/>
  <c r="D33" i="55"/>
  <c r="E36" i="55" s="1"/>
  <c r="F15" i="49"/>
  <c r="D41" i="49"/>
  <c r="D15" i="49"/>
  <c r="D40" i="49"/>
  <c r="C15" i="49"/>
  <c r="D42" i="49"/>
  <c r="D43" i="49"/>
  <c r="E40" i="49"/>
  <c r="D29" i="49"/>
  <c r="C6" i="49"/>
  <c r="D48" i="49"/>
  <c r="D47" i="49"/>
  <c r="D46" i="49"/>
  <c r="E54" i="16"/>
  <c r="D53" i="16"/>
  <c r="D42" i="16"/>
  <c r="D41" i="16"/>
  <c r="D29" i="26"/>
  <c r="D11" i="26"/>
  <c r="E51" i="26"/>
  <c r="C7" i="52"/>
  <c r="E42" i="52"/>
  <c r="D42" i="52"/>
  <c r="E39" i="52"/>
  <c r="D39" i="52"/>
  <c r="E38" i="52"/>
  <c r="D38" i="52"/>
  <c r="D32" i="52"/>
  <c r="C6" i="52"/>
  <c r="E45" i="52"/>
  <c r="E47" i="52"/>
  <c r="D45" i="52"/>
  <c r="E44" i="52"/>
  <c r="D44" i="52"/>
  <c r="E43" i="52"/>
  <c r="D43" i="52"/>
  <c r="E36" i="52"/>
  <c r="E35" i="52"/>
  <c r="D33" i="52"/>
  <c r="D47" i="52"/>
  <c r="D56" i="41"/>
  <c r="D31" i="52"/>
  <c r="E40" i="52"/>
  <c r="D40" i="52"/>
  <c r="E51" i="49"/>
  <c r="D51" i="49"/>
  <c r="E50" i="49"/>
  <c r="D50" i="49"/>
  <c r="D35" i="31"/>
  <c r="C14" i="31"/>
  <c r="D34" i="31"/>
  <c r="C6" i="51"/>
  <c r="D63" i="51" s="1"/>
  <c r="D46" i="51"/>
  <c r="D51" i="31"/>
  <c r="D50" i="31"/>
  <c r="D49" i="31"/>
  <c r="E46" i="26"/>
  <c r="E59" i="26"/>
  <c r="D59" i="26"/>
  <c r="E57" i="26"/>
  <c r="E58" i="26"/>
  <c r="D58" i="26"/>
  <c r="D57" i="26"/>
  <c r="D49" i="51"/>
  <c r="D48" i="51"/>
  <c r="D47" i="51"/>
  <c r="D102" i="47"/>
  <c r="D23" i="51"/>
  <c r="D24" i="51"/>
  <c r="D25" i="51"/>
  <c r="D27" i="51"/>
  <c r="D41" i="51"/>
  <c r="D42" i="51"/>
  <c r="D36" i="51"/>
  <c r="D43" i="51"/>
  <c r="D51" i="51"/>
  <c r="D53" i="51"/>
  <c r="F52" i="16"/>
  <c r="E52" i="16"/>
  <c r="D52" i="16"/>
  <c r="E42" i="41"/>
  <c r="D37" i="41"/>
  <c r="D15" i="41"/>
  <c r="D50" i="41" s="1"/>
  <c r="D52" i="41" s="1"/>
  <c r="C15" i="41"/>
  <c r="F51" i="41" s="1"/>
  <c r="D33" i="41"/>
  <c r="D32" i="41"/>
  <c r="D30" i="41"/>
  <c r="D31" i="41"/>
  <c r="C10" i="41"/>
  <c r="D58" i="41"/>
  <c r="D60" i="15"/>
  <c r="D59" i="15"/>
  <c r="D58" i="15"/>
  <c r="D66" i="15"/>
  <c r="D33" i="49"/>
  <c r="C29" i="15"/>
  <c r="C36" i="15"/>
  <c r="D53" i="15"/>
  <c r="D28" i="31"/>
  <c r="D27" i="31"/>
  <c r="D29" i="31"/>
  <c r="C23" i="36"/>
  <c r="D30" i="36" s="1"/>
  <c r="D48" i="48"/>
  <c r="D52" i="48"/>
  <c r="D30" i="49"/>
  <c r="D43" i="31"/>
  <c r="D42" i="31"/>
  <c r="D32" i="31"/>
  <c r="C37" i="15"/>
  <c r="C31" i="15"/>
  <c r="D45" i="31"/>
  <c r="D36" i="31"/>
  <c r="D33" i="31"/>
  <c r="D51" i="36"/>
  <c r="D50" i="36"/>
  <c r="D50" i="18"/>
  <c r="D49" i="18"/>
  <c r="D48" i="18"/>
  <c r="D56" i="45"/>
  <c r="D55" i="45"/>
  <c r="D54" i="45"/>
  <c r="D55" i="44"/>
  <c r="D54" i="44"/>
  <c r="D53" i="44"/>
  <c r="F74" i="16"/>
  <c r="F73" i="16"/>
  <c r="F72" i="16"/>
  <c r="E74" i="16"/>
  <c r="E73" i="16"/>
  <c r="E72" i="16"/>
  <c r="D74" i="16"/>
  <c r="D73" i="16"/>
  <c r="D72" i="16"/>
  <c r="F103" i="47"/>
  <c r="F104" i="47"/>
  <c r="F102" i="47"/>
  <c r="E104" i="47"/>
  <c r="E103" i="47"/>
  <c r="E102" i="47"/>
  <c r="D104" i="47"/>
  <c r="D103" i="47"/>
  <c r="D45" i="22"/>
  <c r="D44" i="22"/>
  <c r="D43" i="22"/>
  <c r="D29" i="22"/>
  <c r="D31" i="36"/>
  <c r="C9" i="49"/>
  <c r="D49" i="49"/>
  <c r="E41" i="49"/>
  <c r="E42" i="49"/>
  <c r="D48" i="15"/>
  <c r="C32" i="15"/>
  <c r="D52" i="15"/>
  <c r="C38" i="15"/>
  <c r="E46" i="49"/>
  <c r="C8" i="49"/>
  <c r="E48" i="49"/>
  <c r="E33" i="49"/>
  <c r="E35" i="49"/>
  <c r="E47" i="49"/>
  <c r="C33" i="15"/>
  <c r="D47" i="15"/>
  <c r="D51" i="15"/>
  <c r="C39" i="15"/>
  <c r="D54" i="15"/>
  <c r="D46" i="15"/>
  <c r="C34" i="15"/>
  <c r="D49" i="15"/>
  <c r="D62" i="15"/>
  <c r="D52" i="44"/>
  <c r="D51" i="44"/>
  <c r="D53" i="45"/>
  <c r="D52" i="45"/>
  <c r="C21" i="38"/>
  <c r="E69" i="38" s="1"/>
  <c r="C22" i="38"/>
  <c r="E70" i="38" s="1"/>
  <c r="C20" i="38"/>
  <c r="D68" i="38" s="1"/>
  <c r="D35" i="45"/>
  <c r="D35" i="44"/>
  <c r="C7" i="48"/>
  <c r="D50" i="48"/>
  <c r="C13" i="48"/>
  <c r="D37" i="48"/>
  <c r="D13" i="48"/>
  <c r="D38" i="48"/>
  <c r="D29" i="48"/>
  <c r="D33" i="48"/>
  <c r="D30" i="48"/>
  <c r="D31" i="48"/>
  <c r="D39" i="48"/>
  <c r="D40" i="48"/>
  <c r="D47" i="48"/>
  <c r="D49" i="48"/>
  <c r="D42" i="48"/>
  <c r="C9" i="48"/>
  <c r="C7" i="44"/>
  <c r="D34" i="44"/>
  <c r="F87" i="47"/>
  <c r="F88" i="47"/>
  <c r="F89" i="47"/>
  <c r="E89" i="47"/>
  <c r="E88" i="47"/>
  <c r="E87" i="47"/>
  <c r="D89" i="47"/>
  <c r="D88" i="47"/>
  <c r="D87" i="47"/>
  <c r="E97" i="47"/>
  <c r="C15" i="47"/>
  <c r="D96" i="47" s="1"/>
  <c r="D28" i="38"/>
  <c r="C7" i="18"/>
  <c r="C8" i="18"/>
  <c r="D33" i="18" s="1"/>
  <c r="F78" i="47"/>
  <c r="F92" i="47" s="1"/>
  <c r="F77" i="47"/>
  <c r="E64" i="47"/>
  <c r="E63" i="47"/>
  <c r="D32" i="47"/>
  <c r="D31" i="47"/>
  <c r="E37" i="47"/>
  <c r="D32" i="18"/>
  <c r="E56" i="41"/>
  <c r="F56" i="41"/>
  <c r="F61" i="41"/>
  <c r="E61" i="41"/>
  <c r="D60" i="41"/>
  <c r="D59" i="41"/>
  <c r="F59" i="41"/>
  <c r="F42" i="41"/>
  <c r="D42" i="41"/>
  <c r="D39" i="41"/>
  <c r="D38" i="41"/>
  <c r="D36" i="41"/>
  <c r="C7" i="45"/>
  <c r="D34" i="45"/>
  <c r="D45" i="45"/>
  <c r="D12" i="45"/>
  <c r="D32" i="45"/>
  <c r="C8" i="45"/>
  <c r="D44" i="44"/>
  <c r="D38" i="44"/>
  <c r="C8" i="44"/>
  <c r="D31" i="45"/>
  <c r="D46" i="45"/>
  <c r="D48" i="45"/>
  <c r="D49" i="36"/>
  <c r="C13" i="18"/>
  <c r="C9" i="41"/>
  <c r="D30" i="26"/>
  <c r="C11" i="26"/>
  <c r="D44" i="26"/>
  <c r="C13" i="38"/>
  <c r="E61" i="38" s="1"/>
  <c r="D13" i="38"/>
  <c r="D62" i="38" s="1"/>
  <c r="D12" i="36"/>
  <c r="C12" i="36"/>
  <c r="D37" i="31"/>
  <c r="D48" i="31"/>
  <c r="D53" i="31"/>
  <c r="D55" i="31"/>
  <c r="D59" i="31"/>
  <c r="D61" i="31"/>
  <c r="D64" i="31"/>
  <c r="D65" i="31"/>
  <c r="D69" i="15"/>
  <c r="D68" i="15"/>
  <c r="D67" i="15"/>
  <c r="C8" i="15"/>
  <c r="D70" i="15"/>
  <c r="D71" i="15"/>
  <c r="D73" i="15"/>
  <c r="D77" i="15"/>
  <c r="F66" i="16"/>
  <c r="E66" i="16"/>
  <c r="D44" i="16"/>
  <c r="D43" i="16"/>
  <c r="D66" i="16"/>
  <c r="D31" i="18"/>
  <c r="D14" i="22"/>
  <c r="C9" i="22" s="1"/>
  <c r="D30" i="22" s="1"/>
  <c r="C14" i="22"/>
  <c r="C10" i="22" s="1"/>
  <c r="D28" i="22" s="1"/>
  <c r="D13" i="18"/>
  <c r="D42" i="18" s="1"/>
  <c r="D13" i="16"/>
  <c r="C7" i="16" s="1"/>
  <c r="C8" i="16" s="1"/>
  <c r="C13" i="16"/>
  <c r="F64" i="16" s="1"/>
  <c r="D79" i="15"/>
  <c r="D82" i="15"/>
  <c r="D83" i="15"/>
  <c r="D12" i="44"/>
  <c r="D45" i="44"/>
  <c r="D43" i="26"/>
  <c r="D50" i="26"/>
  <c r="D37" i="26"/>
  <c r="E50" i="26"/>
  <c r="D31" i="26"/>
  <c r="C16" i="26"/>
  <c r="E56" i="26"/>
  <c r="E43" i="49"/>
  <c r="E59" i="41"/>
  <c r="F60" i="41"/>
  <c r="E60" i="41"/>
  <c r="F45" i="41"/>
  <c r="D41" i="48"/>
  <c r="D44" i="48"/>
  <c r="D54" i="48"/>
  <c r="D35" i="49"/>
  <c r="D51" i="52"/>
  <c r="D53" i="52"/>
  <c r="D56" i="52"/>
  <c r="D57" i="52"/>
  <c r="E51" i="52"/>
  <c r="E53" i="52"/>
  <c r="E56" i="52"/>
  <c r="E57" i="52"/>
  <c r="C9" i="45"/>
  <c r="D36" i="45"/>
  <c r="D30" i="45"/>
  <c r="C7" i="26"/>
  <c r="D36" i="26"/>
  <c r="D51" i="26"/>
  <c r="E49" i="49"/>
  <c r="D54" i="49"/>
  <c r="E43" i="41"/>
  <c r="F43" i="41"/>
  <c r="E45" i="41"/>
  <c r="F50" i="41"/>
  <c r="F52" i="41" s="1"/>
  <c r="D55" i="41"/>
  <c r="F55" i="41"/>
  <c r="E55" i="41"/>
  <c r="D57" i="51"/>
  <c r="D59" i="51"/>
  <c r="D62" i="51"/>
  <c r="D41" i="18"/>
  <c r="D31" i="44"/>
  <c r="D30" i="44"/>
  <c r="D32" i="44"/>
  <c r="D47" i="44"/>
  <c r="D36" i="44"/>
  <c r="C9" i="44"/>
  <c r="D38" i="26"/>
  <c r="D56" i="26"/>
  <c r="D46" i="26"/>
  <c r="E54" i="49"/>
  <c r="E56" i="49"/>
  <c r="E60" i="49"/>
  <c r="E62" i="49"/>
  <c r="E65" i="49"/>
  <c r="E66" i="49"/>
  <c r="D56" i="49"/>
  <c r="D60" i="49"/>
  <c r="D62" i="49"/>
  <c r="D65" i="49"/>
  <c r="D66" i="49"/>
  <c r="D58" i="48"/>
  <c r="D60" i="48"/>
  <c r="D63" i="48"/>
  <c r="D64" i="48"/>
  <c r="D51" i="45"/>
  <c r="D57" i="45"/>
  <c r="D33" i="45"/>
  <c r="D40" i="45"/>
  <c r="D38" i="45"/>
  <c r="E53" i="26"/>
  <c r="E61" i="26"/>
  <c r="E63" i="26"/>
  <c r="E67" i="26"/>
  <c r="E69" i="26"/>
  <c r="E72" i="26"/>
  <c r="E73" i="26"/>
  <c r="D53" i="26"/>
  <c r="D61" i="26"/>
  <c r="D63" i="26"/>
  <c r="D50" i="44"/>
  <c r="D56" i="44"/>
  <c r="D33" i="44"/>
  <c r="D39" i="44"/>
  <c r="D58" i="44"/>
  <c r="D62" i="44"/>
  <c r="D64" i="44"/>
  <c r="D67" i="44"/>
  <c r="D68" i="44"/>
  <c r="D59" i="45"/>
  <c r="D63" i="45"/>
  <c r="D65" i="45"/>
  <c r="D68" i="45"/>
  <c r="D69" i="45"/>
  <c r="D67" i="26"/>
  <c r="D69" i="26"/>
  <c r="D72" i="26"/>
  <c r="D73" i="26"/>
  <c r="D29" i="36" l="1"/>
  <c r="C7" i="36"/>
  <c r="E64" i="55"/>
  <c r="E51" i="55"/>
  <c r="D51" i="55"/>
  <c r="D66" i="55" s="1"/>
  <c r="D70" i="55" s="1"/>
  <c r="D72" i="55" s="1"/>
  <c r="D75" i="55" s="1"/>
  <c r="D76" i="55" s="1"/>
  <c r="C8" i="36"/>
  <c r="D45" i="36"/>
  <c r="D28" i="36"/>
  <c r="D44" i="36"/>
  <c r="C9" i="18"/>
  <c r="D47" i="18" s="1"/>
  <c r="D27" i="22"/>
  <c r="D38" i="22"/>
  <c r="D37" i="22"/>
  <c r="C9" i="38"/>
  <c r="E48" i="38" s="1"/>
  <c r="D69" i="38"/>
  <c r="E47" i="38"/>
  <c r="D40" i="38"/>
  <c r="E52" i="38"/>
  <c r="D39" i="38"/>
  <c r="E53" i="38"/>
  <c r="D29" i="38"/>
  <c r="D34" i="38"/>
  <c r="D67" i="38"/>
  <c r="D41" i="38"/>
  <c r="E54" i="38"/>
  <c r="E50" i="38"/>
  <c r="D36" i="38"/>
  <c r="D33" i="38"/>
  <c r="D37" i="38"/>
  <c r="E62" i="38"/>
  <c r="D61" i="38"/>
  <c r="D64" i="38" s="1"/>
  <c r="C8" i="38"/>
  <c r="D32" i="38"/>
  <c r="E68" i="38"/>
  <c r="D70" i="38"/>
  <c r="D34" i="18"/>
  <c r="D36" i="18" s="1"/>
  <c r="D44" i="18"/>
  <c r="D51" i="18" s="1"/>
  <c r="E65" i="16"/>
  <c r="C9" i="16"/>
  <c r="D64" i="16"/>
  <c r="F65" i="16"/>
  <c r="E64" i="16"/>
  <c r="D57" i="16"/>
  <c r="D60" i="16" s="1"/>
  <c r="D65" i="16"/>
  <c r="E57" i="16"/>
  <c r="E60" i="16" s="1"/>
  <c r="F57" i="16"/>
  <c r="F60" i="16" s="1"/>
  <c r="D92" i="47"/>
  <c r="E92" i="47"/>
  <c r="D97" i="47"/>
  <c r="D98" i="47" s="1"/>
  <c r="F97" i="47"/>
  <c r="F96" i="47"/>
  <c r="C10" i="47"/>
  <c r="E96" i="47"/>
  <c r="E50" i="41"/>
  <c r="E52" i="41" s="1"/>
  <c r="F63" i="41"/>
  <c r="F65" i="41" s="1"/>
  <c r="F69" i="41" s="1"/>
  <c r="F71" i="41" s="1"/>
  <c r="F73" i="41" s="1"/>
  <c r="F74" i="41" s="1"/>
  <c r="E63" i="41"/>
  <c r="E65" i="41" s="1"/>
  <c r="D61" i="41"/>
  <c r="D63" i="41" s="1"/>
  <c r="D65" i="41" s="1"/>
  <c r="D39" i="36" l="1"/>
  <c r="E66" i="55"/>
  <c r="E70" i="55" s="1"/>
  <c r="E72" i="55" s="1"/>
  <c r="E75" i="55" s="1"/>
  <c r="E76" i="55" s="1"/>
  <c r="D46" i="36"/>
  <c r="D53" i="36" s="1"/>
  <c r="D40" i="22"/>
  <c r="D47" i="22"/>
  <c r="D49" i="22" s="1"/>
  <c r="D32" i="22"/>
  <c r="E64" i="38"/>
  <c r="D56" i="38"/>
  <c r="E67" i="38"/>
  <c r="E72" i="38" s="1"/>
  <c r="E51" i="38"/>
  <c r="D72" i="38"/>
  <c r="E56" i="38"/>
  <c r="D53" i="18"/>
  <c r="E67" i="16"/>
  <c r="D67" i="16"/>
  <c r="F67" i="16"/>
  <c r="D71" i="16"/>
  <c r="E71" i="16"/>
  <c r="F71" i="16"/>
  <c r="E98" i="47"/>
  <c r="D101" i="47"/>
  <c r="D105" i="47" s="1"/>
  <c r="D107" i="47" s="1"/>
  <c r="E101" i="47"/>
  <c r="F101" i="47"/>
  <c r="F98" i="47"/>
  <c r="D69" i="41"/>
  <c r="D71" i="41" s="1"/>
  <c r="D73" i="41" s="1"/>
  <c r="D74" i="41" s="1"/>
  <c r="E69" i="41"/>
  <c r="E71" i="41" s="1"/>
  <c r="E73" i="41" s="1"/>
  <c r="E74" i="41" s="1"/>
  <c r="D55" i="36" l="1"/>
  <c r="D59" i="36" s="1"/>
  <c r="D61" i="36" s="1"/>
  <c r="D63" i="36" s="1"/>
  <c r="D64" i="36" s="1"/>
  <c r="D53" i="22"/>
  <c r="D55" i="22" s="1"/>
  <c r="D58" i="22" s="1"/>
  <c r="D59" i="22" s="1"/>
  <c r="D74" i="38"/>
  <c r="D80" i="38" s="1"/>
  <c r="D83" i="38" s="1"/>
  <c r="D84" i="38" s="1"/>
  <c r="E74" i="38"/>
  <c r="E78" i="38" s="1"/>
  <c r="E80" i="38" s="1"/>
  <c r="E83" i="38" s="1"/>
  <c r="E84" i="38" s="1"/>
  <c r="D57" i="18"/>
  <c r="D59" i="18" s="1"/>
  <c r="D62" i="18" s="1"/>
  <c r="E76" i="16"/>
  <c r="E78" i="16" s="1"/>
  <c r="E82" i="16" s="1"/>
  <c r="E84" i="16" s="1"/>
  <c r="E87" i="16" s="1"/>
  <c r="F76" i="16"/>
  <c r="F78" i="16" s="1"/>
  <c r="F82" i="16" s="1"/>
  <c r="F84" i="16" s="1"/>
  <c r="F87" i="16" s="1"/>
  <c r="F89" i="16" s="1"/>
  <c r="D76" i="16"/>
  <c r="D78" i="16" s="1"/>
  <c r="D82" i="16" s="1"/>
  <c r="D84" i="16" s="1"/>
  <c r="D87" i="16" s="1"/>
  <c r="F105" i="47"/>
  <c r="F107" i="47" s="1"/>
  <c r="F111" i="47" s="1"/>
  <c r="F113" i="47" s="1"/>
  <c r="F116" i="47" s="1"/>
  <c r="F117" i="47" s="1"/>
  <c r="E105" i="47"/>
  <c r="E107" i="47" s="1"/>
  <c r="E111" i="47" s="1"/>
  <c r="E113" i="47" s="1"/>
  <c r="E116" i="47" s="1"/>
  <c r="E117" i="47" s="1"/>
  <c r="D111" i="47"/>
  <c r="D113" i="47" s="1"/>
  <c r="D116" i="47" s="1"/>
  <c r="D64" i="18" l="1"/>
  <c r="D63" i="18"/>
  <c r="D88" i="16"/>
  <c r="D117" i="47"/>
  <c r="D118"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Gore, Kristen</author>
    <author xml:space="preserve">Brennen, Jason </author>
  </authors>
  <commentList>
    <comment ref="B7" authorId="0" shapeId="0" xr:uid="{0550A7C2-588B-46E8-92FE-F8676016B1A6}">
      <text>
        <r>
          <rPr>
            <sz val="9"/>
            <color indexed="81"/>
            <rFont val="Tahoma"/>
            <family val="2"/>
          </rPr>
          <t>Recommended caseload is 15-20 cases per clinician if conducted in the office, and 10-12 if conducted outside the office. 
Assuming 4 clinicians per team serving an average of 12 families to completion every every 16 weeks/4 months</t>
        </r>
      </text>
    </comment>
    <comment ref="B8" authorId="0" shapeId="0" xr:uid="{526328C5-678E-497A-B9E1-35D4765CD336}">
      <text>
        <r>
          <rPr>
            <sz val="9"/>
            <color indexed="81"/>
            <rFont val="Tahoma"/>
            <family val="2"/>
          </rPr>
          <t xml:space="preserve">Duration of services is 24 sessions over between 12-16 weeks
 </t>
        </r>
      </text>
    </comment>
    <comment ref="B11" authorId="0" shapeId="0" xr:uid="{DC4D3656-DBC0-4817-9557-6DB7466D249C}">
      <text>
        <r>
          <rPr>
            <sz val="9"/>
            <color indexed="81"/>
            <rFont val="Tahoma"/>
            <family val="2"/>
          </rPr>
          <t xml:space="preserve">In year 2 of implementation, sites may designate BSFT therapists that have completed the initial full competency training to become site clinical supervisors. Requires at least one new therapist that needs BSFT competency training for each trainee clinical supervisor to train with. Once fully trained , the site clinical supervisor in year 3 of implementation assumes supervision adherence for fidelity and the future supervision of any other additional new trainees. </t>
        </r>
      </text>
    </comment>
    <comment ref="B14" authorId="0" shapeId="0" xr:uid="{90509376-17A2-4A66-A74C-784F1CBCE807}">
      <text>
        <r>
          <rPr>
            <sz val="9"/>
            <color indexed="81"/>
            <rFont val="Tahoma"/>
            <family val="2"/>
          </rPr>
          <t xml:space="preserve">
Each BSFT team can have 2-8 members (training is done by cohort). In initial year of implementation, team of up to 8 individuals should have at least 1 member designated to become the cohort's clinical supervisor in year 3 of implementation. If site choses not to designate a BSFT Therapist as Clinical Supervisor in year 3, then all cohort members are BSFT Therapists and clinical supervision completed by developers. Up to sites to determine what additional staff are needed to support implementation (e.g., administrative staff, non-clinical supervisor, etc.) - additional staff are not required by the model. </t>
        </r>
      </text>
    </comment>
    <comment ref="C21" authorId="0" shapeId="0" xr:uid="{4D7EFDA7-9735-4D29-8C59-0D1FAE0AFBC8}">
      <text>
        <r>
          <rPr>
            <sz val="9"/>
            <color indexed="81"/>
            <rFont val="Tahoma"/>
            <family val="2"/>
          </rPr>
          <t>Services can be delivered in office or in home, mileage by staff person is based on jursidictional factors.</t>
        </r>
      </text>
    </comment>
    <comment ref="B22" authorId="1" shapeId="0" xr:uid="{DF21E080-BA18-4447-8DBB-1DA2B29F7984}">
      <text>
        <r>
          <rPr>
            <sz val="9"/>
            <color indexed="81"/>
            <rFont val="Tahoma"/>
            <family val="2"/>
          </rPr>
          <t>Requires funder to estimate telecom by number of agencies</t>
        </r>
      </text>
    </comment>
    <comment ref="B23" authorId="1" shapeId="0" xr:uid="{EB9EAD42-571A-486C-A115-C6DEAE3A9215}">
      <text>
        <r>
          <rPr>
            <sz val="9"/>
            <color indexed="81"/>
            <rFont val="Tahoma"/>
            <family val="2"/>
          </rPr>
          <t xml:space="preserve">Requires funder to estimate office supplies/utility costs by agency
</t>
        </r>
      </text>
    </comment>
    <comment ref="B24" authorId="1" shapeId="0" xr:uid="{DE0574BC-B2C7-4C2C-8679-55E084D58E28}">
      <text>
        <r>
          <rPr>
            <sz val="9"/>
            <color indexed="81"/>
            <rFont val="Tahoma"/>
            <family val="2"/>
          </rPr>
          <t>Requires funder to estimate occupancy cost by agency</t>
        </r>
        <r>
          <rPr>
            <sz val="9"/>
            <color indexed="81"/>
            <rFont val="Tahoma"/>
            <family val="2"/>
          </rPr>
          <t xml:space="preserve">
</t>
        </r>
      </text>
    </comment>
    <comment ref="C29" authorId="0" shapeId="0" xr:uid="{C76E4341-EB37-4BFC-AE46-6D67383B0CEB}">
      <text>
        <r>
          <rPr>
            <sz val="9"/>
            <color indexed="81"/>
            <rFont val="Tahoma"/>
            <family val="2"/>
          </rPr>
          <t xml:space="preserve">Travel, lodging, presentation materials, and the BSFT® PowerPoint© are all included in the pricing </t>
        </r>
      </text>
    </comment>
    <comment ref="C30" authorId="0" shapeId="0" xr:uid="{A45DCCA7-9F07-460A-824B-FC17CF2D92D6}">
      <text>
        <r>
          <rPr>
            <sz val="9"/>
            <color indexed="81"/>
            <rFont val="Tahoma"/>
            <family val="2"/>
          </rPr>
          <t xml:space="preserve">
 (up to 8 participants)</t>
        </r>
      </text>
    </comment>
    <comment ref="C31" authorId="0" shapeId="0" xr:uid="{F44094D2-2DA1-4B4E-9E42-1C2064BDBB5D}">
      <text>
        <r>
          <rPr>
            <sz val="9"/>
            <color indexed="81"/>
            <rFont val="Tahoma"/>
            <family val="2"/>
          </rPr>
          <t xml:space="preserve">
 (24 2-hour sessions per pair) </t>
        </r>
      </text>
    </comment>
    <comment ref="C32" authorId="0" shapeId="0" xr:uid="{C97DF602-1AA5-45D8-A9A2-8F57588F5C71}">
      <text>
        <r>
          <rPr>
            <sz val="9"/>
            <color indexed="81"/>
            <rFont val="Tahoma"/>
            <family val="2"/>
          </rPr>
          <t xml:space="preserve"> (up to 8 participants) </t>
        </r>
      </text>
    </comment>
    <comment ref="C33" authorId="0" shapeId="0" xr:uid="{6AFEC021-3F3C-4541-872C-4F02514C264A}">
      <text>
        <r>
          <rPr>
            <sz val="9"/>
            <color indexed="81"/>
            <rFont val="Tahoma"/>
            <family val="2"/>
          </rPr>
          <t xml:space="preserve"> (up to 20 participants)</t>
        </r>
      </text>
    </comment>
    <comment ref="C36" authorId="0" shapeId="0" xr:uid="{1E6E1074-4261-4BF0-9752-FAF83F461D3D}">
      <text>
        <r>
          <rPr>
            <sz val="9"/>
            <color indexed="81"/>
            <rFont val="Tahoma"/>
            <family val="2"/>
          </rPr>
          <t xml:space="preserve">
 (up to 8 participants)  </t>
        </r>
      </text>
    </comment>
    <comment ref="C37" authorId="0" shapeId="0" xr:uid="{C4588F2A-FE69-43F9-B186-C09990A022D9}">
      <text>
        <r>
          <rPr>
            <sz val="9"/>
            <color indexed="81"/>
            <rFont val="Tahoma"/>
            <family val="2"/>
          </rPr>
          <t xml:space="preserve"> (24 2-hour sessions per pair) </t>
        </r>
      </text>
    </comment>
    <comment ref="C38" authorId="0" shapeId="0" xr:uid="{98E649CF-47CB-4DB4-A043-186188B097D4}">
      <text>
        <r>
          <rPr>
            <sz val="9"/>
            <color indexed="81"/>
            <rFont val="Tahoma"/>
            <family val="2"/>
          </rPr>
          <t xml:space="preserve">
 (14 hours over 5 consecutive days, up to 8 participants)</t>
        </r>
      </text>
    </comment>
    <comment ref="C39" authorId="0" shapeId="0" xr:uid="{F372BFF7-22BE-4B07-9B34-7D288FF34E8F}">
      <text>
        <r>
          <rPr>
            <sz val="9"/>
            <color indexed="81"/>
            <rFont val="Tahoma"/>
            <family val="2"/>
          </rPr>
          <t xml:space="preserve">
 (3 hours over 2 consecutive days, up to 10 participants) </t>
        </r>
      </text>
    </comment>
    <comment ref="C42" authorId="0" shapeId="0" xr:uid="{41E0F114-B73D-4177-BBB9-3BBD8C458052}">
      <text>
        <r>
          <rPr>
            <sz val="9"/>
            <color indexed="81"/>
            <rFont val="Tahoma"/>
            <family val="2"/>
          </rPr>
          <t xml:space="preserve">
 (initial in year 1 and renewal for subsequent years) </t>
        </r>
      </text>
    </comment>
    <comment ref="C43" authorId="0" shapeId="0" xr:uid="{B6E4FFFC-2255-42F7-93A0-CD1E74AA3B58}">
      <text>
        <r>
          <rPr>
            <sz val="9"/>
            <color indexed="81"/>
            <rFont val="Tahoma"/>
            <family val="2"/>
          </rPr>
          <t xml:space="preserve">If Site pursues Optional Site Supervisor (BCS) option with Clinical Supervisor, supervision adherence from developers required for years 2 and 3. Subsequent years of supervision adherence completed by Clinical Supervisor </t>
        </r>
      </text>
    </comment>
    <comment ref="D45" authorId="0" shapeId="0" xr:uid="{0E498E2D-34E5-4C3E-A69C-0E89B32CA8AA}">
      <text>
        <r>
          <rPr>
            <b/>
            <sz val="9"/>
            <color indexed="81"/>
            <rFont val="Tahoma"/>
            <family val="2"/>
          </rPr>
          <t>This calculation is based on onsite training, online training would cost $7,000 less.</t>
        </r>
      </text>
    </comment>
    <comment ref="D51" authorId="1" shapeId="0" xr:uid="{EDC60C08-9C27-4145-8369-9CF5F01A92C3}">
      <text>
        <r>
          <rPr>
            <sz val="9"/>
            <color indexed="81"/>
            <rFont val="Tahoma"/>
            <family val="2"/>
          </rPr>
          <t xml:space="preserve">
"Clinical Supervisors" noted above in year 1 and 2 are not formalized supervisors, so receive same salary as BSFT Therapists in years 1 and 2</t>
        </r>
      </text>
    </comment>
    <comment ref="E51" authorId="1" shapeId="0" xr:uid="{50CF995F-9A06-4749-AB8F-163DB6278865}">
      <text>
        <r>
          <rPr>
            <sz val="9"/>
            <color indexed="81"/>
            <rFont val="Tahoma"/>
            <family val="2"/>
          </rPr>
          <t xml:space="preserve">
"Clinical Supervisors" noted above in year 1 and 2 are not formalized supervisors, so receive same salary as BSFT Therapists in years 1 and 2
</t>
        </r>
      </text>
    </comment>
    <comment ref="C55" authorId="0" shapeId="0" xr:uid="{2F95226C-945F-48F0-AED9-343B806D6849}">
      <text>
        <r>
          <rPr>
            <b/>
            <sz val="9"/>
            <color indexed="81"/>
            <rFont val="Tahoma"/>
            <family val="2"/>
          </rPr>
          <t>Gore, Kristen:</t>
        </r>
        <r>
          <rPr>
            <sz val="9"/>
            <color indexed="81"/>
            <rFont val="Tahoma"/>
            <family val="2"/>
          </rPr>
          <t xml:space="preserve">
Estimated $15/month per user - Box's basic business subscription fee</t>
        </r>
      </text>
    </comment>
    <comment ref="C57" authorId="0" shapeId="0" xr:uid="{9CB9B7AE-8ED5-4696-AFF2-6596EA549A91}">
      <text>
        <r>
          <rPr>
            <b/>
            <sz val="9"/>
            <color indexed="81"/>
            <rFont val="Tahoma"/>
            <family val="2"/>
          </rPr>
          <t>Gore, Kristen:</t>
        </r>
        <r>
          <rPr>
            <sz val="9"/>
            <color indexed="81"/>
            <rFont val="Tahoma"/>
            <family val="2"/>
          </rPr>
          <t xml:space="preserve">
Developer recommends the following: Child Behavioral Checklist; Parenting Questionnaire; and McMaster Family Assessment Device See FAQ page for more: https://brief-strategic-family-therapy.com/faqs/</t>
        </r>
      </text>
    </comment>
    <comment ref="C58" authorId="0" shapeId="0" xr:uid="{49FA39C2-21A5-4302-AB18-6A7D67FDF37C}">
      <text>
        <r>
          <rPr>
            <b/>
            <sz val="9"/>
            <color indexed="81"/>
            <rFont val="Tahoma"/>
            <family val="2"/>
          </rPr>
          <t>Gore, Kristen:</t>
        </r>
        <r>
          <rPr>
            <sz val="9"/>
            <color indexed="81"/>
            <rFont val="Tahoma"/>
            <family val="2"/>
          </rPr>
          <t xml:space="preserve">
Video camera to record sessions
(1 per team member) one-time cost</t>
        </r>
      </text>
    </comment>
    <comment ref="C69" authorId="1" shapeId="0" xr:uid="{F7558A60-479E-4CF0-B41E-4B44F6D46F3C}">
      <text>
        <r>
          <rPr>
            <sz val="9"/>
            <color indexed="81"/>
            <rFont val="Tahoma"/>
            <family val="2"/>
          </rPr>
          <t xml:space="preserve">Accumulated administrative costs that jointly benefit the overall organization programs and objectives. Indirect cost pool typically includes accounting/finance, payroll, HR, IT, operating and maintenance costs, etc.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xml:space="preserve">Brennen, Jason </author>
  </authors>
  <commentList>
    <comment ref="C5" authorId="0" shapeId="0" xr:uid="{7DA32FEA-BEE5-4994-941E-C134B1459A77}">
      <text>
        <r>
          <rPr>
            <sz val="9"/>
            <color indexed="81"/>
            <rFont val="Tahoma"/>
            <family val="2"/>
          </rPr>
          <t xml:space="preserve">Enter the total number of anticipated agencies that will be involved with procurement. This will impact some training costs
</t>
        </r>
      </text>
    </comment>
    <comment ref="C6" authorId="0" shapeId="0" xr:uid="{FA3B547D-32E1-44EB-ABC9-BC589BB99248}">
      <text>
        <r>
          <rPr>
            <sz val="9"/>
            <color indexed="81"/>
            <rFont val="Tahoma"/>
            <family val="2"/>
          </rPr>
          <t>2 therapists per team
Does not assume all provider sites will have the same number of teams.</t>
        </r>
      </text>
    </comment>
    <comment ref="C7" authorId="0" shapeId="0" xr:uid="{0E20861B-6772-4BB1-92CC-A34AF3A82DA9}">
      <text>
        <r>
          <rPr>
            <sz val="9"/>
            <color indexed="81"/>
            <rFont val="Tahoma"/>
            <family val="2"/>
          </rPr>
          <t xml:space="preserve">
Calculates # of families able to be served in  a year based on: 
-total number of teams X
-the maximum caseload of a team (16) X
-the potential to offer 4 cycles per year. The assumption of 4 cycles per year is understood that the length of the program is 12-13 weeks. 
Calculates # of families able to be served in  a year based on: 
-total number of teams X
-the maximum caseload of a team (16) X
-the potential to offer 4 cycles per year. The assumption of 4 cycles per year is understood that the length of the program is 12-13 weeks. 
</t>
        </r>
      </text>
    </comment>
    <comment ref="C8" authorId="0" shapeId="0" xr:uid="{30708737-5E58-43F0-A0A5-2C1F49482C41}">
      <text>
        <r>
          <rPr>
            <sz val="9"/>
            <color indexed="81"/>
            <rFont val="Tahoma"/>
            <family val="2"/>
          </rPr>
          <t>2 Therapists lead each group and can do 1-2 groups at a time consisting of 6-8 families.  Therefore, 16 families (8 families x 2 groups) would assume the maximum number of famiiles a team could potentially run at once.</t>
        </r>
        <r>
          <rPr>
            <b/>
            <sz val="9"/>
            <color indexed="81"/>
            <rFont val="Tahoma"/>
            <family val="2"/>
          </rPr>
          <t xml:space="preserve">
</t>
        </r>
        <r>
          <rPr>
            <sz val="9"/>
            <color indexed="81"/>
            <rFont val="Tahoma"/>
            <family val="2"/>
          </rPr>
          <t xml:space="preserve">
</t>
        </r>
      </text>
    </comment>
    <comment ref="C12" authorId="0" shapeId="0" xr:uid="{039EBED4-B898-4ABD-8B05-DA75BF08E5A5}">
      <text>
        <r>
          <rPr>
            <sz val="9"/>
            <color indexed="81"/>
            <rFont val="Tahoma"/>
            <family val="2"/>
          </rPr>
          <t>Supervisors are not required as part of this model</t>
        </r>
      </text>
    </comment>
    <comment ref="D12" authorId="0" shapeId="0" xr:uid="{53A2EBEC-58C7-4992-AFDD-44F2402384F2}">
      <text>
        <r>
          <rPr>
            <sz val="9"/>
            <color indexed="81"/>
            <rFont val="Tahoma"/>
            <family val="2"/>
          </rPr>
          <t xml:space="preserve">2 therapist per team
</t>
        </r>
      </text>
    </comment>
    <comment ref="C19" authorId="0" shapeId="0" xr:uid="{3B4F39C5-4332-42A6-A04B-D6914736DDE8}">
      <text>
        <r>
          <rPr>
            <sz val="9"/>
            <color indexed="81"/>
            <rFont val="Tahoma"/>
            <family val="2"/>
          </rPr>
          <t xml:space="preserve">Developer recommends that providers consider a  budget for childcare so that parents can attend with the target child.  However, the developer was not able to provide any estimates on this cost. 
Consider engaging providers in a discussion on whether to include these options in an effort to enhance participation for this high-risk population. </t>
        </r>
      </text>
    </comment>
    <comment ref="C20" authorId="0" shapeId="0" xr:uid="{67832170-9DB9-46D2-BFF3-422FDBC6EB98}">
      <text>
        <r>
          <rPr>
            <sz val="9"/>
            <color indexed="81"/>
            <rFont val="Tahoma"/>
            <family val="2"/>
          </rPr>
          <t xml:space="preserve">Developer recommends that providers consider a budget for meals/snacks during sessions.  However, the developer was not able to provide any estimates on this cost. Consider engaging providers in a discussion on whether to include these options in an effort to enhance participation for this high-risk population. 
</t>
        </r>
      </text>
    </comment>
    <comment ref="C21" authorId="0" shapeId="0" xr:uid="{DA97E9C5-17A2-4B8F-B163-3CD04B195C7A}">
      <text>
        <r>
          <rPr>
            <sz val="9"/>
            <color indexed="81"/>
            <rFont val="Tahoma"/>
            <family val="2"/>
          </rPr>
          <t>Requires funder to estimate telecom by number of agencies</t>
        </r>
        <r>
          <rPr>
            <b/>
            <sz val="9"/>
            <color indexed="81"/>
            <rFont val="Tahoma"/>
            <family val="2"/>
          </rPr>
          <t xml:space="preserve">
</t>
        </r>
        <r>
          <rPr>
            <sz val="9"/>
            <color indexed="81"/>
            <rFont val="Tahoma"/>
            <family val="2"/>
          </rPr>
          <t xml:space="preserve">
</t>
        </r>
      </text>
    </comment>
    <comment ref="C22" authorId="0" shapeId="0" xr:uid="{49F61E40-B852-410B-91DA-59061C7329B8}">
      <text>
        <r>
          <rPr>
            <sz val="9"/>
            <color indexed="81"/>
            <rFont val="Tahoma"/>
            <family val="2"/>
          </rPr>
          <t>Requires funder to estimate office supplies/utility costs by agency</t>
        </r>
      </text>
    </comment>
    <comment ref="C23" authorId="0" shapeId="0" xr:uid="{6737BBDB-2C53-436A-B3D6-8A30FEBBCA3B}">
      <text>
        <r>
          <rPr>
            <sz val="9"/>
            <color indexed="81"/>
            <rFont val="Tahoma"/>
            <family val="2"/>
          </rPr>
          <t xml:space="preserve">
Requires funder to estimate occupancy cost by agency</t>
        </r>
      </text>
    </comment>
    <comment ref="C30" authorId="0" shapeId="0" xr:uid="{6283CD22-E357-4A5A-B8F2-B480B2C0A6D8}">
      <text>
        <r>
          <rPr>
            <sz val="9"/>
            <color indexed="81"/>
            <rFont val="Tahoma"/>
            <family val="2"/>
          </rPr>
          <t xml:space="preserve">Choose from the 3 training options and then zero out the other two options that were not chosen
Total cost for Group Online training line item is based on assumption the purveyor will provide cross-agency trainings in the online format (if providers request their own agency-specific training, this will be less cost effective than what is calculated here).
Cost is $6850 for up to 15 people (5 sessions, 3.25 hours each). 
Comparing Group Online Training (Option 1) to Individual Online Training (Option 2):
٠If each provider agency has up to 7 people to train, it will be less expensive to sign up for individual online trainings (Option 1).
٠8 people is the break even point among the 2 options.  
٠9-15 people, it will be more cost effective to host group training (Option 1). </t>
        </r>
      </text>
    </comment>
    <comment ref="C31" authorId="0" shapeId="0" xr:uid="{DA5B0849-8B72-472B-8270-1C119BC6B700}">
      <text>
        <r>
          <rPr>
            <sz val="9"/>
            <color indexed="81"/>
            <rFont val="Tahoma"/>
            <family val="2"/>
          </rPr>
          <t>Choose from the 3 training options and then zero out the other two options that were not chosen
Total cost is based on the assumption that each therapist is individually trained ($775 each).
Best option for training new staff due to turnover after initial implementation.</t>
        </r>
      </text>
    </comment>
    <comment ref="C32" authorId="0" shapeId="0" xr:uid="{71E9A1F9-81DD-4030-978E-49CF61E9C2E3}">
      <text>
        <r>
          <rPr>
            <sz val="9"/>
            <color indexed="81"/>
            <rFont val="Tahoma"/>
            <family val="2"/>
          </rPr>
          <t xml:space="preserve">Choose from the 3 training options and then zero out the other two options that were not chosen.
Total cost for In-Person training line item is based on assumption that each provider agency will have their own training.  If some providers coordinate with the model developer to host trainings (and capacity is less than 25 people in total for each), this will be more cost effective.
3-day (7.5 hours each) in-person training averages $6,000 (for up to 25 people).    East coast site: $6475, West coast: $5550 
In addition, this factors in travel costs for trainer (airfare from Seattle, hotel, ground transportation, meals, etc) estimate $2,250--cost vary depending on location. 
</t>
        </r>
      </text>
    </comment>
    <comment ref="C35" authorId="0" shapeId="0" xr:uid="{59EFA851-22A4-4814-A149-776F5B855C90}">
      <text>
        <r>
          <rPr>
            <sz val="9"/>
            <color indexed="81"/>
            <rFont val="Tahoma"/>
            <family val="2"/>
          </rPr>
          <t xml:space="preserve">Choose from among two video curriculum options and then zero out the option not chosen. 
Option 1. Cost of curriculum with videos in form of DVDs/USB: $1000.  In addition, therapist textbooks at $26.95 for each therapist. 
Option 2. Cost of curriculum with videos in on-line streaming format: $475.  Therapist textbooks are included in this cost. However, keep in mind that there is a renewal cost for videos of $400 per year that is not included here. 
A pair of leaders can share option 1, and can be used over multiple years and transferred easily to other leaders. 
Each leader needs their own for video subscription for option 2, but can be transferred to a new leader for a small administrative cost.  However, it is not designed to be passed around the office and shared by many leaders. </t>
        </r>
      </text>
    </comment>
    <comment ref="C36" authorId="0" shapeId="0" xr:uid="{F641689A-50D4-46FB-8674-E96B9AEAC7FF}">
      <text>
        <r>
          <rPr>
            <sz val="9"/>
            <color indexed="81"/>
            <rFont val="Tahoma"/>
            <family val="2"/>
          </rPr>
          <t xml:space="preserve">Choose from among two video curriculum options and then zero out the option not chosen. 
Option 1. Cost of curriculum with videos in form of DVDs/USB: $1000.  In addition, therapist textbooks at $26.95 for each therapist. 
Option 2. Cost of curriculum with videos in on-line streaming format: $475.  Therapist textbooks are included in this cost. However, keep in mind that there is a renewal cost for videos of $400 per year that is not included here. 
A pair of leaders can share option 1, and can be used over multiple years and transferred easily to other leaders. 
Each leader needs their own for video subscription for option 2, but can be transferred to a new leader for a small administrative cost.  However, it is not designed to be passed around the office and shared by many leaders. </t>
        </r>
      </text>
    </comment>
    <comment ref="C38" authorId="0" shapeId="0" xr:uid="{D2FA15F4-57E2-4B40-B65F-4D9D2CAD857C}">
      <text>
        <r>
          <rPr>
            <sz val="9"/>
            <color indexed="81"/>
            <rFont val="Tahoma"/>
            <family val="2"/>
          </rPr>
          <t>Determine whether to include monthly consultation calls or not in the start-up costs.  If not, then zero out this line item.
Developer recommends monthly consultation sessions at $210 per session when running groups.  If agency is running groups continuously throughout year, then plan for 12 calls for each 2-4 group leaders. 
This assumption calculates costs based on monthly sessions per agency.</t>
        </r>
      </text>
    </comment>
    <comment ref="C62" authorId="0" shapeId="0" xr:uid="{A2BF8887-825B-45BA-80A8-39E1500FF13A}">
      <text>
        <r>
          <rPr>
            <sz val="9"/>
            <color indexed="81"/>
            <rFont val="Tahoma"/>
            <family val="2"/>
          </rPr>
          <t xml:space="preserve">Accumulated administrative costs that jointly benefit the overall organization programs and objectives. Indirect cost pool typically includes accounting/finance, payroll, HR, IT, operating and maintenance costs, etc.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xml:space="preserve">Brennen, Jason </author>
  </authors>
  <commentList>
    <comment ref="C5" authorId="0" shapeId="0" xr:uid="{5B218D6F-31F6-47B2-8682-3B1751638A4E}">
      <text>
        <r>
          <rPr>
            <sz val="9"/>
            <color indexed="81"/>
            <rFont val="Tahoma"/>
            <family val="2"/>
          </rPr>
          <t>Enter the total number of anticipated agencies that will be involved with procurement. This will impact some training costs</t>
        </r>
      </text>
    </comment>
    <comment ref="C6" authorId="0" shapeId="0" xr:uid="{0B207EED-B5C2-4896-8421-3DB82C8684B9}">
      <text>
        <r>
          <rPr>
            <sz val="9"/>
            <color indexed="81"/>
            <rFont val="Tahoma"/>
            <family val="2"/>
          </rPr>
          <t xml:space="preserve">2 therapists per team.
Does not assume all provider sites will have the same number of teams.Does not assume all provider sites will have the same number of teams.
</t>
        </r>
      </text>
    </comment>
    <comment ref="C7" authorId="0" shapeId="0" xr:uid="{6BF86108-94EE-4B5B-A6F1-FF76242DC7E7}">
      <text>
        <r>
          <rPr>
            <sz val="9"/>
            <color indexed="81"/>
            <rFont val="Tahoma"/>
            <family val="2"/>
          </rPr>
          <t xml:space="preserve">
Calculates # of families able to be served in  a year based on: 
-total number of teams X
-the maximum caseload of a team (16) X
-the potential to offer 4 cycles per year. The assumption of 4 cycles per year is understood that the length of the program is 12-13 weeks. 
</t>
        </r>
      </text>
    </comment>
    <comment ref="C8" authorId="0" shapeId="0" xr:uid="{631E3A6E-79C8-4439-9310-6A7DFD129167}">
      <text>
        <r>
          <rPr>
            <sz val="9"/>
            <color indexed="81"/>
            <rFont val="Tahoma"/>
            <family val="2"/>
          </rPr>
          <t xml:space="preserve">
2 Therapists lead each group and can do 1-2 groups at a time consisting of 6-8 families.  Therefore, 16 families (8 families x 2 groups) would assume the maximum number of famiiles a team could potentially run at once.</t>
        </r>
        <r>
          <rPr>
            <b/>
            <sz val="9"/>
            <color indexed="81"/>
            <rFont val="Tahoma"/>
            <family val="2"/>
          </rPr>
          <t xml:space="preserve">
</t>
        </r>
        <r>
          <rPr>
            <sz val="9"/>
            <color indexed="81"/>
            <rFont val="Tahoma"/>
            <family val="2"/>
          </rPr>
          <t xml:space="preserve">
</t>
        </r>
      </text>
    </comment>
    <comment ref="C12" authorId="0" shapeId="0" xr:uid="{F9D2B572-0C1C-4AA4-82DB-2C8B4A2D9266}">
      <text>
        <r>
          <rPr>
            <sz val="9"/>
            <color indexed="81"/>
            <rFont val="Tahoma"/>
            <family val="2"/>
          </rPr>
          <t>Supervisors are not required as part of this model</t>
        </r>
      </text>
    </comment>
    <comment ref="D12" authorId="0" shapeId="0" xr:uid="{EB5B6B56-9585-405F-892B-0CE5C8126962}">
      <text>
        <r>
          <rPr>
            <sz val="9"/>
            <color indexed="81"/>
            <rFont val="Tahoma"/>
            <family val="2"/>
          </rPr>
          <t xml:space="preserve">2 therapists per team
</t>
        </r>
        <r>
          <rPr>
            <b/>
            <sz val="9"/>
            <color indexed="81"/>
            <rFont val="Tahoma"/>
            <family val="2"/>
          </rPr>
          <t xml:space="preserve">
</t>
        </r>
        <r>
          <rPr>
            <sz val="9"/>
            <color indexed="81"/>
            <rFont val="Tahoma"/>
            <family val="2"/>
          </rPr>
          <t xml:space="preserve">
</t>
        </r>
      </text>
    </comment>
    <comment ref="C19" authorId="0" shapeId="0" xr:uid="{01047845-1A0D-4E25-AED9-0498DE3428E3}">
      <text>
        <r>
          <rPr>
            <sz val="9"/>
            <color indexed="81"/>
            <rFont val="Tahoma"/>
            <family val="2"/>
          </rPr>
          <t xml:space="preserve">Developer recommends that providers consider a  budget for childcare so that parents can attend with the target child.  However, the developer was not able to provide any estimates on this cost. 
Consider engaging providers in a discussion on whether to include these options in an effort to enhance participation for this high-risk population. </t>
        </r>
      </text>
    </comment>
    <comment ref="C20" authorId="0" shapeId="0" xr:uid="{EA36BFB0-B95C-4FFB-8998-218126EF7D10}">
      <text>
        <r>
          <rPr>
            <sz val="9"/>
            <color indexed="81"/>
            <rFont val="Tahoma"/>
            <family val="2"/>
          </rPr>
          <t xml:space="preserve">Developer recommends that providers consider a budget for meals/snacks during sessions.  However, the developer was not able to provide any estimates on this cost. 
Consider engaging providers in a discussion on whether to include these options in an effort to enhance participation for this high-risk population. </t>
        </r>
      </text>
    </comment>
    <comment ref="C21" authorId="0" shapeId="0" xr:uid="{4DD5EF6E-7F72-4FDA-A53C-BEAC98D2AB9A}">
      <text>
        <r>
          <rPr>
            <sz val="9"/>
            <color indexed="81"/>
            <rFont val="Tahoma"/>
            <family val="2"/>
          </rPr>
          <t>Requires funder to estimate telecom by number of agencies</t>
        </r>
        <r>
          <rPr>
            <b/>
            <sz val="9"/>
            <color indexed="81"/>
            <rFont val="Tahoma"/>
            <family val="2"/>
          </rPr>
          <t xml:space="preserve">
</t>
        </r>
        <r>
          <rPr>
            <sz val="9"/>
            <color indexed="81"/>
            <rFont val="Tahoma"/>
            <family val="2"/>
          </rPr>
          <t xml:space="preserve">
</t>
        </r>
      </text>
    </comment>
    <comment ref="C22" authorId="0" shapeId="0" xr:uid="{ED4F1B94-C340-45C1-BE38-373272B84B20}">
      <text>
        <r>
          <rPr>
            <sz val="9"/>
            <color indexed="81"/>
            <rFont val="Tahoma"/>
            <family val="2"/>
          </rPr>
          <t>Requires funder to estimate office supplies/utility costs by agency</t>
        </r>
      </text>
    </comment>
    <comment ref="C23" authorId="0" shapeId="0" xr:uid="{9CAE5F5E-9B94-4D0F-9939-0B2CE497A3D6}">
      <text>
        <r>
          <rPr>
            <sz val="9"/>
            <color indexed="81"/>
            <rFont val="Tahoma"/>
            <family val="2"/>
          </rPr>
          <t xml:space="preserve">
Requires funder to estimate occupancy cost by agency</t>
        </r>
      </text>
    </comment>
    <comment ref="C30" authorId="0" shapeId="0" xr:uid="{2D08F1AC-0D1A-4B43-B442-0C19713722AC}">
      <text>
        <r>
          <rPr>
            <sz val="9"/>
            <color indexed="81"/>
            <rFont val="Tahoma"/>
            <family val="2"/>
          </rPr>
          <t xml:space="preserve">Choose from the 3 training options and then zero out the other two options that were not chosen
Total cost for Group Online training line item is based on assumption the purveyor will provide cross-agency trainings in the online format (if providers request their own agency-specific training, this will be less cost effective than what is calculated here).
Cost is $6850 for up to 15 people (5 sessions, 3.25 hours each). 
Comparing Group Online Training (Option 1) to Individual Online Training (Option 2):
٠If each provider agency has up to 7 people to train, it will be less expensive to sign up for individual online trainings (Option 1).
٠8 people is the break even point among the 2 options.  
٠9-15 people, it will be more cost effective to host group training (Option 1). </t>
        </r>
      </text>
    </comment>
    <comment ref="C31" authorId="0" shapeId="0" xr:uid="{5FC7DE76-6B71-4DA2-BC42-5A9038D93505}">
      <text>
        <r>
          <rPr>
            <sz val="9"/>
            <color indexed="81"/>
            <rFont val="Tahoma"/>
            <family val="2"/>
          </rPr>
          <t>Choose from the 3 training options and then zero out the other two options that were not chosen
Total cost is based on the assumption that each therapist is individually trained ($775 each)
Best option for training new staff due to turnover after initial implementation.</t>
        </r>
      </text>
    </comment>
    <comment ref="C32" authorId="0" shapeId="0" xr:uid="{2BA0450E-9C48-426B-B430-E933EE8BCF2F}">
      <text>
        <r>
          <rPr>
            <sz val="9"/>
            <color indexed="81"/>
            <rFont val="Tahoma"/>
            <family val="2"/>
          </rPr>
          <t xml:space="preserve">Choose from the 3 training options and then zero out the other two options that were not chosen
Total cost for In-Person training line item is based on assumption that each provider agency will have their own training.  If some providers coordinate with the model developer to host trainings (and capacity is less than 25 people in total for each), this will be more cost effective.
3-day (7.5 hours each) in-person training averages $6,000 (for up to 25 people).    East coast site: $6475, West coast: $5550 
In addition, this factors in travel costs for trainer (airfare from Seattle, hotel, ground transportation, meals, etc) estimate $2,250--cost vary depending on location. 
</t>
        </r>
      </text>
    </comment>
    <comment ref="C35" authorId="0" shapeId="0" xr:uid="{91567B15-E4C5-4994-9A14-CEAC0A87D217}">
      <text>
        <r>
          <rPr>
            <sz val="9"/>
            <color indexed="81"/>
            <rFont val="Tahoma"/>
            <family val="2"/>
          </rPr>
          <t xml:space="preserve">Choose from among two video curriculum options and then zero out the option not chosen. 
Option 1. Cost of curriculum with videos in form of DVDs: $1440.   In addition, therapist textbooks at $26.95 for each therapist. 
Option 2. Cost of curriculum with videos in on-line streaming format: $575. Therapist textbooks are included in this cost. However, keep in mind that there is a renewal cost for videos of $475 per year that is not included here. 
A pair of leaders can share option 1, and can be used over multiple years and transferred easily to other leaders. 
Each leader needs their own for video subscription for option 2, but can be transferred to a new leader for a small administrative cost.  However, it is not designed to be passed around the office and shared by many leaders. </t>
        </r>
      </text>
    </comment>
    <comment ref="C36" authorId="0" shapeId="0" xr:uid="{DB003034-0040-4CB8-8FFB-E287B6F32871}">
      <text>
        <r>
          <rPr>
            <sz val="9"/>
            <color indexed="81"/>
            <rFont val="Tahoma"/>
            <family val="2"/>
          </rPr>
          <t xml:space="preserve">Choose from among two video curriculum options and then zero out the option not chosen. 
Option 1. Cost of curriculum with videos in form of DVDs: $1440.   In addition, therapist textbooks at $26.95 for each therapist. 
Option 2. Cost of curriculum with videos in on-line streaming format: $575. Therapist textbooks are included in this cost. However, keep in mind that there is a renewal cost for videos of $475 per year that is not included here. 
A pair of leaders can share option 1, and can be used over multiple years and transferred easily to other leaders. 
Each leader needs their own for video subscription for option 2, but can be transferred to a new leader for a small administrative cost.  However, it is not designed to be passed around the office and shared by many leaders. </t>
        </r>
      </text>
    </comment>
    <comment ref="C38" authorId="0" shapeId="0" xr:uid="{1AB469B0-D6F5-4667-9DBE-23CA6A9D0123}">
      <text>
        <r>
          <rPr>
            <sz val="9"/>
            <color indexed="81"/>
            <rFont val="Tahoma"/>
            <family val="2"/>
          </rPr>
          <t xml:space="preserve">
Recommend monthly sessions at $210 per session when running groups.  If agency is running groups continuously throughout year, then plan for 12 calls for each 2-4 group leaders. </t>
        </r>
      </text>
    </comment>
    <comment ref="C63" authorId="0" shapeId="0" xr:uid="{76BEE0A7-9990-45C5-81BF-89CF54C5480E}">
      <text>
        <r>
          <rPr>
            <sz val="9"/>
            <color indexed="81"/>
            <rFont val="Tahoma"/>
            <family val="2"/>
          </rPr>
          <t xml:space="preserve">Accumulated administrative costs that jointly benefit the overall organization programs and objectives. Indirect cost pool typically includes accounting/finance, payroll, HR, IT, operating and maintenance costs, etc.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 xml:space="preserve">Brennen, Jason </author>
    <author>Gore, Kristen</author>
  </authors>
  <commentList>
    <comment ref="B6" authorId="0" shapeId="0" xr:uid="{42F34F18-AC4B-4F20-A033-DB4BDFFCBE7F}">
      <text>
        <r>
          <rPr>
            <sz val="9"/>
            <color indexed="81"/>
            <rFont val="Tahoma"/>
            <family val="2"/>
          </rPr>
          <t xml:space="preserve">Total number </t>
        </r>
        <r>
          <rPr>
            <i/>
            <sz val="9"/>
            <color indexed="81"/>
            <rFont val="Tahoma"/>
            <family val="2"/>
          </rPr>
          <t xml:space="preserve">across all provider agencies </t>
        </r>
        <r>
          <rPr>
            <sz val="9"/>
            <color indexed="81"/>
            <rFont val="Tahoma"/>
            <family val="2"/>
          </rPr>
          <t>(does not assume all provider sites will have the same number of teams)</t>
        </r>
      </text>
    </comment>
    <comment ref="B7" authorId="1" shapeId="0" xr:uid="{75CA6014-C741-4F05-8832-368F4C18D44A}">
      <text>
        <r>
          <rPr>
            <sz val="9"/>
            <color indexed="81"/>
            <rFont val="Tahoma"/>
            <family val="2"/>
          </rPr>
          <t>Number for recommended caseload size of 16.7 for the first year, provided by the developer.</t>
        </r>
      </text>
    </comment>
    <comment ref="C14" authorId="0" shapeId="0" xr:uid="{183AE31C-9A10-479C-ACB2-ED046F31FF1D}">
      <text>
        <r>
          <rPr>
            <sz val="9"/>
            <color indexed="81"/>
            <rFont val="Tahoma"/>
            <family val="2"/>
          </rPr>
          <t xml:space="preserve">Each site is required to have a nurse supervisor, with a maximum ratio of 8 nurses to 1 supervisor. </t>
        </r>
      </text>
    </comment>
    <comment ref="D14" authorId="0" shapeId="0" xr:uid="{0E5E1CF2-A04E-410E-9227-4E6E9A05587F}">
      <text>
        <r>
          <rPr>
            <sz val="9"/>
            <color indexed="81"/>
            <rFont val="Tahoma"/>
            <family val="2"/>
          </rPr>
          <t xml:space="preserve">This calculation assumes a ratio of 8 nurses to a supervisor. However, the ratio of supervisor to HV nurses can be as high as 8:1.   
</t>
        </r>
      </text>
    </comment>
    <comment ref="E14" authorId="0" shapeId="0" xr:uid="{7B7B0DD0-A6CF-42B3-B1DC-A3E133786E66}">
      <text>
        <r>
          <rPr>
            <sz val="9"/>
            <color indexed="81"/>
            <rFont val="Tahoma"/>
            <family val="2"/>
          </rPr>
          <t>A minimum of a half-time administrative assistant is necessary for a 100-client implementation, and a full-time administrative assistant for a 200-family implementation, to provide administrative support, run reports and conduct outreach and client follow-up.</t>
        </r>
      </text>
    </comment>
    <comment ref="B15" authorId="1" shapeId="0" xr:uid="{5D6CBF1E-E065-440D-A4C3-762EF2C6AFC1}">
      <text>
        <r>
          <rPr>
            <sz val="9"/>
            <color indexed="81"/>
            <rFont val="Tahoma"/>
            <family val="2"/>
          </rPr>
          <t>Salary standards recommended by the developer.</t>
        </r>
      </text>
    </comment>
    <comment ref="B21" authorId="0" shapeId="0" xr:uid="{73A6A2FB-0906-4D84-82F4-4167A75F96D3}">
      <text>
        <r>
          <rPr>
            <sz val="9"/>
            <color indexed="81"/>
            <rFont val="Tahoma"/>
            <family val="2"/>
          </rPr>
          <t xml:space="preserve">Requires funder to estimate telecom equipment and cellular usage fees 
This placeholder calculation includes: 
$750 for smart phones for all staff 
$600 for annual cellular usage fees for home visitors only
</t>
        </r>
      </text>
    </comment>
    <comment ref="B22" authorId="0" shapeId="0" xr:uid="{6FC29A0A-A78A-4151-9D15-2BAD75F130A3}">
      <text>
        <r>
          <rPr>
            <sz val="9"/>
            <color indexed="81"/>
            <rFont val="Tahoma"/>
            <family val="2"/>
          </rPr>
          <t>Requires funder to estimate office supplies/utility costs by agency</t>
        </r>
      </text>
    </comment>
    <comment ref="B23" authorId="0" shapeId="0" xr:uid="{5A607C09-E59F-4E47-93A7-EA40801BBA87}">
      <text>
        <r>
          <rPr>
            <sz val="9"/>
            <color indexed="81"/>
            <rFont val="Tahoma"/>
            <family val="2"/>
          </rPr>
          <t xml:space="preserve">Requires funder to estimate occupancy cost by agency
</t>
        </r>
      </text>
    </comment>
    <comment ref="E26" authorId="1" shapeId="0" xr:uid="{E81BC0F1-31EA-493C-A951-76B48EE23793}">
      <text>
        <r>
          <rPr>
            <sz val="9"/>
            <color indexed="81"/>
            <rFont val="Tahoma"/>
            <family val="2"/>
          </rPr>
          <t>Changes between Year 1 and Year 2 account for a 3% COL.</t>
        </r>
      </text>
    </comment>
    <comment ref="C29" authorId="1" shapeId="0" xr:uid="{DF834A4C-72E7-43AB-888E-A36C30C49C0E}">
      <text>
        <r>
          <rPr>
            <sz val="9"/>
            <color indexed="81"/>
            <rFont val="Tahoma"/>
            <family val="2"/>
          </rPr>
          <t>START-UP SERVICES FEE
• In depth support to help network partner staff prepare to implement the program with fidelity to the model and successfully move through the initial phase of program start-up.
• Education about implementation and access to the Nurse-Family Partnership data collection and reporting system.
• Incremental program support and nurse consultation provided during the first two years of implementation.
The Start-Up Fee will be charged per network partner one time (when contract is signed).
The start-up cost would be assessed to whatever provider had a implementation agreement in place with the NSO. If an agency subcontracted with multiple other providers, they would pay one start-up fee, and the overarching agency would be responsible for the subcontractors implementing with fidelity.</t>
        </r>
      </text>
    </comment>
    <comment ref="C33" authorId="1" shapeId="0" xr:uid="{0546422C-E026-47E1-A721-22AFCE4A7EA1}">
      <text>
        <r>
          <rPr>
            <sz val="9"/>
            <color indexed="81"/>
            <rFont val="Tahoma"/>
            <family val="2"/>
          </rPr>
          <t>The item covers the costs associated with travel of administrators (one trip), supervisors (up to three trips) and NHV (up to two trips). Costs include travel, meals, and hotel. (Estimate is based on $500 round-trip flight, $250/night hotel, $80 ground transportation, $50/day meals and incidentals.)</t>
        </r>
      </text>
    </comment>
    <comment ref="C34" authorId="1" shapeId="0" xr:uid="{786C13C0-451D-4284-9607-73DD3C2C336B}">
      <text>
        <r>
          <rPr>
            <sz val="9"/>
            <color indexed="81"/>
            <rFont val="Tahoma"/>
            <family val="2"/>
          </rPr>
          <t>Dyadic Assessment of Naturalistic Caregiver-child Experiences (DANCE) Education Program.
All NHV and supervisors are required to attend education in DANCE and are eligible to attend DANCE Fundamentals after they have been employed by NFP for about nine months and have completed Keys to Caregiving, prior to DANCE education. NHV are also required to have at least one infant on their caseloads at the time they attend DANCE Fundamentals. DANCE is taught through a three-phase education and support model:
• DANCE Preparation – four hours of individual and team-based learning activities completed prior to attending DANCE Fundamentals. Teams are given six to eight weeks to complete these activities.
• DANCE Fundamentals – three-day, face-to-face education session.
• DANCE Integration – Supervisor-facilitated team and individual learning activities designed to assist DANCE users to integrate DANCE into their home visiting practice in the six months following Fundamentals. An integration manual with learning resources is provided to supervisors upon completion of DANCE Fundamentals.
DANCE Education Fees
Regularly Scheduled DANCE Fundamentals Sessions
DANCE Fundamentals sessions are offered when there are enough learners to fill a class. The fee for an individual learner includes tuition, lunch each day, materials, and 1st year licensing. The fees are as follows:
• Regional Sessions: $835/person ($700 education; $135 1st year licensing)
• Denver Sessions: $670/person ($535 education; $135 1st year licensing)</t>
        </r>
      </text>
    </comment>
    <comment ref="C35" authorId="1" shapeId="0" xr:uid="{1773E0A5-2AC8-4A27-9036-84AB36F6DAFF}">
      <text>
        <r>
          <rPr>
            <sz val="9"/>
            <color indexed="81"/>
            <rFont val="Tahoma"/>
            <family val="2"/>
          </rPr>
          <t>$7786 for materials, for 8 Nurses</t>
        </r>
      </text>
    </comment>
    <comment ref="C40" authorId="1" shapeId="0" xr:uid="{9849DF6F-D759-4A7D-96B7-8AC2D14D54BC}">
      <text>
        <r>
          <rPr>
            <sz val="9"/>
            <color indexed="81"/>
            <rFont val="Tahoma"/>
            <family val="2"/>
          </rPr>
          <t>The Network Partner Support Fee is the standard fee that will be assessed to NPs in the new fee structure. It is assessed per team, and dependent on the number of nurses on each team.
Contributes to covering costs associated with the following:
• Data Collection System (DCS) operation and use.
• Reporting – NFP routinely provides reports to network partners through the DCS and the NFP Reporting Portal via the NFP Community. NFP can generate special reports to meet individual needs of a network partner. These customized reports are charged based on the programming effort and the frequency of delivery. Each report request is evaluated individually, and a cost estimate is provided.
• Ongoing Nurse-Family Partnership education for NHV, supervisors, and administrators; resource library; conference calls; web forums; NFP Community resources; and maintenance of Visit-to-Visit Guidelines and supporting materials. The mix of these ongoing education components varies from year to year based on what client needs and additional education that is needed.
• Marketing and Communications consultation and support, including marketing and community outreach materials such as brochures, posters, flyers contact cards for mom recruitment, as well as general NFP branding materials and nurse recruitment packets. Most collateral can be customized with network partner contact information at no additional charge. Also provided are the NFP marketing and communications resources and guidance located on the NFP Community website, one-on-one consultations, as well as updates and regular monthly communications from the NFP National Service Office.
• Advocacy and educational work at the federal and state levels, provided by Policy and Government Affairs.
Nurse-Family Partnership Budget Guidance – 2021
• Monitoring reports based on the supervisor and her/his team’s activity and performance and providing support with quality improvement initiatives.
• Structured, routine support for the supervisor in operations and clinical issues.
• Periodic visits to the supervisor and NFP team.
• Clinical coaching and consultation with the supervisor.</t>
        </r>
      </text>
    </comment>
    <comment ref="C41" authorId="1" shapeId="0" xr:uid="{A9D56378-755B-4FB1-9298-67486B46B247}">
      <text>
        <r>
          <rPr>
            <sz val="9"/>
            <color indexed="81"/>
            <rFont val="Tahoma"/>
            <family val="2"/>
          </rPr>
          <t>Medical Program Supplies – nursing supplies for health assessments. Typically includes things like stethoscopes, baby scales, etc.
Recommended ammount per Nurse: $440</t>
        </r>
      </text>
    </comment>
    <comment ref="C42" authorId="1" shapeId="0" xr:uid="{05674767-1914-47C6-ACA4-B0C28DE35B19}">
      <text>
        <r>
          <rPr>
            <sz val="9"/>
            <color indexed="81"/>
            <rFont val="Tahoma"/>
            <family val="2"/>
          </rPr>
          <t>Client Support Materials – a line item to budget for small gifts and incentives for clients like photo albums, gift cards, books, etc. Some NPs take this a step further or partner with other local agencies to provide pack n plays, car seats, and other necessities.</t>
        </r>
      </text>
    </comment>
    <comment ref="C43" authorId="1" shapeId="0" xr:uid="{17A915DE-32E9-4D05-9CE8-D9F15A15D040}">
      <text>
        <r>
          <rPr>
            <sz val="9"/>
            <color indexed="81"/>
            <rFont val="Tahoma"/>
            <family val="2"/>
          </rPr>
          <t>Copies of Forms/Facilitators – opportunity to budget for printing cost</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 xml:space="preserve">Brennen, Jason </author>
    <author>Gore, Kristen</author>
  </authors>
  <commentList>
    <comment ref="B5" authorId="0" shapeId="0" xr:uid="{95AE836E-86B0-48C4-B8D6-82931B6F1FF7}">
      <text>
        <r>
          <rPr>
            <sz val="9"/>
            <color indexed="81"/>
            <rFont val="Tahoma"/>
            <family val="2"/>
          </rPr>
          <t>Enter the total number of anticipated agencies that will be involved with procurement. This will impact some training costs</t>
        </r>
      </text>
    </comment>
    <comment ref="B6" authorId="1" shapeId="0" xr:uid="{206EA046-284A-41AC-B838-A952CC8D1805}">
      <text>
        <r>
          <rPr>
            <b/>
            <sz val="9"/>
            <color indexed="81"/>
            <rFont val="Tahoma"/>
            <family val="2"/>
          </rPr>
          <t>Gore, Kristen:</t>
        </r>
        <r>
          <rPr>
            <sz val="9"/>
            <color indexed="81"/>
            <rFont val="Tahoma"/>
            <family val="2"/>
          </rPr>
          <t xml:space="preserve">
Does not assume all provider sites will have the same number of teams.</t>
        </r>
      </text>
    </comment>
    <comment ref="B7" authorId="1" shapeId="0" xr:uid="{E1C7C83C-3438-424F-B99F-590821F6ED83}">
      <text>
        <r>
          <rPr>
            <b/>
            <sz val="9"/>
            <color indexed="81"/>
            <rFont val="Tahoma"/>
            <family val="2"/>
          </rPr>
          <t>Gore, Kristen:</t>
        </r>
        <r>
          <rPr>
            <sz val="9"/>
            <color indexed="81"/>
            <rFont val="Tahoma"/>
            <family val="2"/>
          </rPr>
          <t xml:space="preserve">
One team typically serves 63 families annually. The calculation for this includes: 63 times the number of teams.</t>
        </r>
      </text>
    </comment>
    <comment ref="B12" authorId="0" shapeId="0" xr:uid="{B193D6A0-B406-45CC-AA54-C4CF5D909B3C}">
      <text>
        <r>
          <rPr>
            <sz val="9"/>
            <color indexed="81"/>
            <rFont val="Tahoma"/>
            <family val="2"/>
          </rPr>
          <t xml:space="preserve">Teams typically consist of 4-5 specialists and a supervisor
</t>
        </r>
      </text>
    </comment>
    <comment ref="C20" authorId="0" shapeId="0" xr:uid="{0709E13A-7898-489B-BE8C-46B74C5B8BD1}">
      <text>
        <r>
          <rPr>
            <sz val="9"/>
            <color indexed="81"/>
            <rFont val="Tahoma"/>
            <family val="2"/>
          </rPr>
          <t xml:space="preserve">
This is calculated based on an estimate from the purveyor. The number of teams * 6 FTE * 1000 miles * state reimbursement rate * 12 months
</t>
        </r>
      </text>
    </comment>
    <comment ref="B21" authorId="0" shapeId="0" xr:uid="{0ECAFCA1-26FB-4583-9452-511B8893937F}">
      <text>
        <r>
          <rPr>
            <sz val="9"/>
            <color indexed="81"/>
            <rFont val="Tahoma"/>
            <family val="2"/>
          </rPr>
          <t xml:space="preserve">Requires funder to estimate telecom by number of agencies
</t>
        </r>
      </text>
    </comment>
    <comment ref="B22" authorId="0" shapeId="0" xr:uid="{F24C503E-7D62-43F2-99F0-1AE446BEBC1A}">
      <text>
        <r>
          <rPr>
            <sz val="9"/>
            <color indexed="81"/>
            <rFont val="Tahoma"/>
            <family val="2"/>
          </rPr>
          <t>Requires funder to estimate office supplies/utility costs by agency</t>
        </r>
      </text>
    </comment>
    <comment ref="B23" authorId="0" shapeId="0" xr:uid="{DE68569D-94CD-4FCB-82C8-FBC36729ACDF}">
      <text>
        <r>
          <rPr>
            <sz val="9"/>
            <color indexed="81"/>
            <rFont val="Tahoma"/>
            <family val="2"/>
          </rPr>
          <t xml:space="preserve">Requires funder to estimate occupancy cost by agency
</t>
        </r>
      </text>
    </comment>
    <comment ref="C29" authorId="1" shapeId="0" xr:uid="{E5B642EA-43B8-4B3D-BDAF-9A4D6051FBBF}">
      <text>
        <r>
          <rPr>
            <sz val="9"/>
            <color indexed="81"/>
            <rFont val="Tahoma"/>
            <family val="2"/>
          </rPr>
          <t xml:space="preserve">
Based on experience from the developer, expect approximate $50K in start up costs per provider agency or YV site. This includes the following subcomponents: 
$22,500 for initial planning, training, data collection and integration of technology. 
3 day clinical foundations and 3 day operational foundations training, in person.
Additionally captured is the "ramp-up" costs. A provider will typically not start at full capacity when implementing Intercept. This will additionally depend on scale and per diem rate.</t>
        </r>
      </text>
    </comment>
    <comment ref="C31" authorId="1" shapeId="0" xr:uid="{A4E30678-277D-4E14-A1F4-E2E820950B84}">
      <text>
        <r>
          <rPr>
            <sz val="9"/>
            <color indexed="81"/>
            <rFont val="Tahoma"/>
            <family val="2"/>
          </rPr>
          <t xml:space="preserve">
Includes the staffing costs associated with compliance specialists monitoring and completing annual fidelity reviews.</t>
        </r>
      </text>
    </comment>
    <comment ref="C39" authorId="1" shapeId="0" xr:uid="{9CB474A8-7EC3-4CFC-AA0C-308C2FF70C5B}">
      <text>
        <r>
          <rPr>
            <sz val="9"/>
            <color indexed="81"/>
            <rFont val="Tahoma"/>
            <family val="2"/>
          </rPr>
          <t xml:space="preserve">
$25,000/team
Cost an organization about $100,000 a year, continuing education, creditialing (this is a licensed clinician).
Can serve 4 teams total, 100,000/4=25,000, this is a youth villages staff member whether directly providing Intercept or partnering with another provider.</t>
        </r>
      </text>
    </comment>
    <comment ref="C40" authorId="1" shapeId="0" xr:uid="{D28D93B0-E44D-4265-A1EB-460AA914D9B0}">
      <text>
        <r>
          <rPr>
            <sz val="9"/>
            <color indexed="81"/>
            <rFont val="Tahoma"/>
            <family val="2"/>
          </rPr>
          <t xml:space="preserve">
This line item includes leadership staff responsible for these teams specifically.Such as: administrative lead and program lead (partners staff person), regional network lead (YV staff person supporting operations).
number of teams times $20,000 -- the percentage of a full time employee in leaderhsip role, 25% of program lead for each team, program lead makes about $60-80,000, and director about 10% of time per team, $100-125,000, + $15,000 regional network lead.</t>
        </r>
      </text>
    </comment>
    <comment ref="C41" authorId="1" shapeId="0" xr:uid="{D6F4EAD2-BA6F-486B-BF8B-82BA8223287B}">
      <text>
        <r>
          <rPr>
            <b/>
            <sz val="9"/>
            <color indexed="81"/>
            <rFont val="Tahoma"/>
            <family val="2"/>
          </rPr>
          <t>Gore, Kristen:</t>
        </r>
        <r>
          <rPr>
            <sz val="9"/>
            <color indexed="81"/>
            <rFont val="Tahoma"/>
            <family val="2"/>
          </rPr>
          <t xml:space="preserve">
Clinical content manager, clinical program manager, ongoing training, clinical boosters, research and outcome evaluation)</t>
        </r>
      </text>
    </comment>
    <comment ref="C47" authorId="1" shapeId="0" xr:uid="{3EA4610B-EC4B-4494-A44C-4E1200581F24}">
      <text>
        <r>
          <rPr>
            <sz val="9"/>
            <color indexed="81"/>
            <rFont val="Tahoma"/>
            <family val="2"/>
          </rPr>
          <t xml:space="preserve">
This is calculated based on an estimate from the purveyor. The number of teams * 6 FTE * 1000 miles * state reimbursement rate * 12 months</t>
        </r>
      </text>
    </comment>
    <comment ref="C50" authorId="1" shapeId="0" xr:uid="{06785071-EE17-4506-AE72-FFE38E0B98A2}">
      <text>
        <r>
          <rPr>
            <sz val="9"/>
            <color indexed="81"/>
            <rFont val="Tahoma"/>
            <family val="2"/>
          </rPr>
          <t xml:space="preserve">
This is calculated by the number of teams * families served in a year * $200
Emergency assistance for a family that may need support with utility bill, etc. 
Some families may not need this - others may need more, $200 is an average.</t>
        </r>
      </text>
    </comment>
    <comment ref="C58" authorId="0" shapeId="0" xr:uid="{06DAAEF3-329C-4D27-B843-E6B83C1D6F4A}">
      <text>
        <r>
          <rPr>
            <sz val="9"/>
            <color indexed="81"/>
            <rFont val="Tahoma"/>
            <family val="2"/>
          </rPr>
          <t xml:space="preserve">Accumulated administrative costs that jointly benefit the overall organization programs and objectives. Indirect cost pool typically includes accounting/finance, payroll, HR, IT, operating and maintenance costs, etc.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Gore, Kristen</author>
    <author xml:space="preserve">Brennen, Jason </author>
  </authors>
  <commentList>
    <comment ref="C6" authorId="0" shapeId="0" xr:uid="{9641034F-6988-4DC0-8E3D-79AE62492CBB}">
      <text>
        <r>
          <rPr>
            <sz val="9"/>
            <color indexed="81"/>
            <rFont val="Tahoma"/>
            <family val="2"/>
          </rPr>
          <t>In consideration with the telecommunications, office supplies and occupancy line items, this assumes that MI is being delivered through a provider organization and not by the child welfare agency.</t>
        </r>
      </text>
    </comment>
    <comment ref="C7" authorId="0" shapeId="0" xr:uid="{00000000-0006-0000-0F00-000001000000}">
      <text>
        <r>
          <rPr>
            <sz val="9"/>
            <color indexed="81"/>
            <rFont val="Tahoma"/>
            <family val="2"/>
          </rPr>
          <t>This is a rough estimate. the Jurisdiction or Provider is to input their estimate for the number of cases served by MI.</t>
        </r>
      </text>
    </comment>
    <comment ref="B16" authorId="1" shapeId="0" xr:uid="{7AEB8CB4-FF58-406F-B7BF-8C68073207C7}">
      <text>
        <r>
          <rPr>
            <sz val="9"/>
            <color indexed="81"/>
            <rFont val="Tahoma"/>
            <family val="2"/>
          </rPr>
          <t xml:space="preserve">Requires funder to estimate telecom by number of agencies
</t>
        </r>
      </text>
    </comment>
    <comment ref="B17" authorId="1" shapeId="0" xr:uid="{240EB17B-FD69-45A6-A5C7-C25C228C49D0}">
      <text>
        <r>
          <rPr>
            <sz val="9"/>
            <color indexed="81"/>
            <rFont val="Tahoma"/>
            <family val="2"/>
          </rPr>
          <t>Requires funder to estimate office supplies/utility costs by agency</t>
        </r>
      </text>
    </comment>
    <comment ref="B18" authorId="1" shapeId="0" xr:uid="{39234C79-B6DC-4902-ACBC-100C59D74033}">
      <text>
        <r>
          <rPr>
            <sz val="9"/>
            <color indexed="81"/>
            <rFont val="Tahoma"/>
            <family val="2"/>
          </rPr>
          <t xml:space="preserve">Requires funder to estimate occupancy cost by agency
</t>
        </r>
      </text>
    </comment>
    <comment ref="C57" authorId="0" shapeId="0" xr:uid="{C1CDB92A-EB5F-4505-A8D6-851249422B0E}">
      <text>
        <r>
          <rPr>
            <b/>
            <sz val="9"/>
            <color indexed="81"/>
            <rFont val="Tahoma"/>
            <family val="2"/>
          </rPr>
          <t>Gore, Kristen:</t>
        </r>
        <r>
          <rPr>
            <sz val="9"/>
            <color indexed="81"/>
            <rFont val="Tahoma"/>
            <family val="2"/>
          </rPr>
          <t xml:space="preserve">
There are numerous fidelity tools but no general determination about which one, who should administer, and how often.  Some are free to use whereas others require pay per use (e.g., LYSSN).  They should talk to a MINT contact to inquire further.</t>
        </r>
      </text>
    </comment>
    <comment ref="C77" authorId="1" shapeId="0" xr:uid="{372E7715-3A53-40C8-9DDE-2722B5FBB0DC}">
      <text>
        <r>
          <rPr>
            <sz val="9"/>
            <color indexed="81"/>
            <rFont val="Tahoma"/>
            <family val="2"/>
          </rPr>
          <t xml:space="preserve">Accumulated administrative costs that jointly benefit the overall organization programs and objectives. Indirect cost pool typically includes accounting/finance, payroll, HR, IT, operating and maintenance costs, etc.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 xml:space="preserve">Brennen, Jason </author>
    <author>Gore, Kristen</author>
  </authors>
  <commentList>
    <comment ref="B6" authorId="0" shapeId="0" xr:uid="{23C52CAE-912A-494F-B62F-B3B56040D21E}">
      <text>
        <r>
          <rPr>
            <sz val="9"/>
            <color indexed="81"/>
            <rFont val="Tahoma"/>
            <family val="2"/>
          </rPr>
          <t xml:space="preserve">Total number </t>
        </r>
        <r>
          <rPr>
            <i/>
            <sz val="9"/>
            <color indexed="81"/>
            <rFont val="Tahoma"/>
            <family val="2"/>
          </rPr>
          <t xml:space="preserve">across all provider agencies </t>
        </r>
        <r>
          <rPr>
            <sz val="9"/>
            <color indexed="81"/>
            <rFont val="Tahoma"/>
            <family val="2"/>
          </rPr>
          <t>(does not assume all provider sites will have the same number of teams)</t>
        </r>
      </text>
    </comment>
    <comment ref="B7" authorId="0" shapeId="0" xr:uid="{3603A914-A9ED-4C63-967F-2C080E6D8D0D}">
      <text>
        <r>
          <rPr>
            <sz val="9"/>
            <color indexed="81"/>
            <rFont val="Tahoma"/>
            <family val="2"/>
          </rPr>
          <t xml:space="preserve">Assumes 4 therapists + a supervisor on each team with each therapist handling 4 total cases at any given time, with a typical duration of service of 4 months
</t>
        </r>
      </text>
    </comment>
    <comment ref="E11" authorId="0" shapeId="0" xr:uid="{5395A4A5-B6AE-42CE-A6C9-B18980BA47A2}">
      <text>
        <r>
          <rPr>
            <sz val="9"/>
            <color indexed="81"/>
            <rFont val="Tahoma"/>
            <family val="2"/>
          </rPr>
          <t xml:space="preserve">Although the purveyor does not require other staff roles, consider whether clerical, CQI/data, or other support roles would be required. </t>
        </r>
      </text>
    </comment>
    <comment ref="B20" authorId="0" shapeId="0" xr:uid="{A5C42BC6-DAF1-4AD1-928A-061133A5A684}">
      <text>
        <r>
          <rPr>
            <sz val="9"/>
            <color indexed="81"/>
            <rFont val="Tahoma"/>
            <family val="2"/>
          </rPr>
          <t xml:space="preserve">Requires funder to estimate telecom by number of agencies
</t>
        </r>
      </text>
    </comment>
    <comment ref="B21" authorId="0" shapeId="0" xr:uid="{A1A23078-EBFC-45FF-815A-C614BE62A48F}">
      <text>
        <r>
          <rPr>
            <sz val="9"/>
            <color indexed="81"/>
            <rFont val="Tahoma"/>
            <family val="2"/>
          </rPr>
          <t>Requires funder to estimate office supplies/utility costs by agency</t>
        </r>
      </text>
    </comment>
    <comment ref="B22" authorId="0" shapeId="0" xr:uid="{511E4518-DDAF-4AF8-AFB9-E66B698D589B}">
      <text>
        <r>
          <rPr>
            <sz val="9"/>
            <color indexed="81"/>
            <rFont val="Tahoma"/>
            <family val="2"/>
          </rPr>
          <t xml:space="preserve">Requires funder to estimate occupancy cost by agency
</t>
        </r>
      </text>
    </comment>
    <comment ref="D28" authorId="1" shapeId="0" xr:uid="{64671348-75A1-4F17-90AB-D7366039C47E}">
      <text>
        <r>
          <rPr>
            <sz val="9"/>
            <color indexed="81"/>
            <rFont val="Tahoma"/>
            <family val="2"/>
          </rPr>
          <t>To train a single team, it is $12,000. For a two to three team group, the cost is $10,000 plus $2,000 per team.</t>
        </r>
      </text>
    </comment>
    <comment ref="D30" authorId="1" shapeId="0" xr:uid="{176E5484-301A-4856-981F-E1E7F9F6C01C}">
      <text>
        <r>
          <rPr>
            <sz val="9"/>
            <color indexed="81"/>
            <rFont val="Tahoma"/>
            <family val="2"/>
          </rPr>
          <t>This calculation is based on the assumption that two or more teams are being trained by the MST developer. It costs $25,000 per team for program support. If it is just one team, the cost is $32,600 for program support.</t>
        </r>
      </text>
    </comment>
    <comment ref="C57" authorId="0" shapeId="0" xr:uid="{E96058F6-4BB3-443C-A514-B421C4E699B2}">
      <text>
        <r>
          <rPr>
            <sz val="9"/>
            <color indexed="81"/>
            <rFont val="Tahoma"/>
            <family val="2"/>
          </rPr>
          <t xml:space="preserve">Accumulated administrative costs that jointly benefit the overall organization programs and objectives. Indirect cost pool typically includes accounting/finance, payroll, HR, IT, operating and maintenance costs, etc.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 xml:space="preserve">Brennen, Jason </author>
    <author>Gore, Kristen</author>
  </authors>
  <commentList>
    <comment ref="C7" authorId="0" shapeId="0" xr:uid="{8826FB73-D275-47E8-B115-2470B764002B}">
      <text>
        <r>
          <rPr>
            <sz val="9"/>
            <color indexed="81"/>
            <rFont val="Tahoma"/>
            <family val="2"/>
          </rPr>
          <t xml:space="preserve">First year therapist conducts 40 visits per month; Depending on family needs, therapists conduct 1-2 home-visits per family/per month; If a therapist was only serving high-need families in their first year they would have 20 cases, if they were only serving lower need families they would serve 40 cases. This calculation of 30 takes the difference between the two.
</t>
        </r>
      </text>
    </comment>
    <comment ref="B12" authorId="0" shapeId="0" xr:uid="{E5D2F109-DEBA-400E-B3CB-154AB30A9851}">
      <text>
        <r>
          <rPr>
            <sz val="9"/>
            <color indexed="81"/>
            <rFont val="Tahoma"/>
            <family val="2"/>
          </rPr>
          <t xml:space="preserve">Parent Educator to Supervisor ratio can be up to 12:1 per team. 
For this placeholder calculation, the ratio is 6:1 Adjust accordingly.
</t>
        </r>
      </text>
    </comment>
    <comment ref="C20" authorId="0" shapeId="0" xr:uid="{C7E7EAEF-AF04-4372-BD19-EE973A91BAAB}">
      <text>
        <r>
          <rPr>
            <sz val="9"/>
            <color indexed="81"/>
            <rFont val="Tahoma"/>
            <family val="2"/>
          </rPr>
          <t>Requires funder to estimate telecom by number of agencies</t>
        </r>
        <r>
          <rPr>
            <b/>
            <sz val="9"/>
            <color indexed="81"/>
            <rFont val="Tahoma"/>
            <family val="2"/>
          </rPr>
          <t xml:space="preserve">
</t>
        </r>
        <r>
          <rPr>
            <sz val="9"/>
            <color indexed="81"/>
            <rFont val="Tahoma"/>
            <family val="2"/>
          </rPr>
          <t xml:space="preserve">
</t>
        </r>
      </text>
    </comment>
    <comment ref="C21" authorId="0" shapeId="0" xr:uid="{C7C1E9B3-44DA-42DC-AD8C-CDED555306B3}">
      <text>
        <r>
          <rPr>
            <sz val="9"/>
            <color indexed="81"/>
            <rFont val="Tahoma"/>
            <family val="2"/>
          </rPr>
          <t>Requires funder to estimate office supplies/utility costs by agency</t>
        </r>
      </text>
    </comment>
    <comment ref="C22" authorId="0" shapeId="0" xr:uid="{B36A8DA0-D3B6-4F41-A54C-E774FF3E3A1C}">
      <text>
        <r>
          <rPr>
            <sz val="9"/>
            <color indexed="81"/>
            <rFont val="Tahoma"/>
            <family val="2"/>
          </rPr>
          <t xml:space="preserve">
Requires funder to estimate occupancy cost by agency</t>
        </r>
      </text>
    </comment>
    <comment ref="C29" authorId="1" shapeId="0" xr:uid="{3AE2893B-6541-496C-8769-E29663A2ADFE}">
      <text>
        <r>
          <rPr>
            <sz val="9"/>
            <color indexed="81"/>
            <rFont val="Tahoma"/>
            <family val="2"/>
          </rPr>
          <t xml:space="preserve">Foundational 2 is for parent educators intending to serve children ages 3-kindergarten. During the first year the model certified renewal fees are included in the paid affiliation fee, but if a site decides to train staff in the Foundation 2 Curriculum, that fee would still apply. </t>
        </r>
      </text>
    </comment>
    <comment ref="C31" authorId="1" shapeId="0" xr:uid="{61F532AF-C715-4E36-822E-AF1C61B72806}">
      <text>
        <r>
          <rPr>
            <sz val="9"/>
            <color indexed="81"/>
            <rFont val="Tahoma"/>
            <family val="2"/>
          </rPr>
          <t>Full three-day training and required prior to accessing the curriculum</t>
        </r>
      </text>
    </comment>
    <comment ref="C35" authorId="1" shapeId="0" xr:uid="{213C1B36-0C24-4F98-A71C-AF3F577C612C}">
      <text>
        <r>
          <rPr>
            <sz val="9"/>
            <color indexed="81"/>
            <rFont val="Tahoma"/>
            <family val="2"/>
          </rPr>
          <t>Full two-day training and required prior to accessing the curriculum</t>
        </r>
      </text>
    </comment>
    <comment ref="C38" authorId="1" shapeId="0" xr:uid="{45E3E600-4424-4E0A-862B-F52FA9558B4F}">
      <text>
        <r>
          <rPr>
            <sz val="9"/>
            <color indexed="81"/>
            <rFont val="Tahoma"/>
            <family val="2"/>
          </rPr>
          <t>Foundational 2 is for parent educators intending to serve children ages 3-kindergarten. Full two-day training and required prior to accessing the curriculum</t>
        </r>
      </text>
    </comment>
    <comment ref="C54" authorId="1" shapeId="0" xr:uid="{D62469B0-3D84-47FA-9209-9D6954BA9720}">
      <text>
        <r>
          <rPr>
            <sz val="9"/>
            <color indexed="81"/>
            <rFont val="Tahoma"/>
            <family val="2"/>
          </rPr>
          <t xml:space="preserve">This training is for Early Head Start/Head Start programs who are center-based rather than home-based. </t>
        </r>
      </text>
    </comment>
    <comment ref="C78" authorId="0" shapeId="0" xr:uid="{60306B5E-EFEA-4A5B-8AF3-BFE48CBA5B3E}">
      <text>
        <r>
          <rPr>
            <sz val="9"/>
            <color indexed="81"/>
            <rFont val="Tahoma"/>
            <family val="2"/>
          </rPr>
          <t xml:space="preserve">Accumulated administrative costs that jointly benefit the overall organization programs and objectives. Indirect cost pool typically includes accounting/finance, payroll, HR, IT, operating and maintenance costs, etc.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Gore, Kristen</author>
    <author xml:space="preserve">Brennen, Jason </author>
  </authors>
  <commentList>
    <comment ref="B7" authorId="0" shapeId="0" xr:uid="{33F95390-53DE-46CA-A8CB-A5A9A47A01D7}">
      <text>
        <r>
          <rPr>
            <b/>
            <sz val="9"/>
            <color indexed="81"/>
            <rFont val="Tahoma"/>
            <family val="2"/>
          </rPr>
          <t>Gore, Kristen:</t>
        </r>
        <r>
          <rPr>
            <sz val="9"/>
            <color indexed="81"/>
            <rFont val="Tahoma"/>
            <family val="2"/>
          </rPr>
          <t xml:space="preserve">
One therapist sees 15 families at any given time for about 14 weeks. That is 60 families per therapist for the year.</t>
        </r>
      </text>
    </comment>
    <comment ref="B13" authorId="1" shapeId="0" xr:uid="{33B72F93-F35E-4BDB-8B92-1D7063412719}">
      <text>
        <r>
          <rPr>
            <sz val="9"/>
            <color indexed="81"/>
            <rFont val="Tahoma"/>
            <family val="2"/>
          </rPr>
          <t>For this placeholder calculation, the ratio is 4:1 Adjust accordingly.</t>
        </r>
      </text>
    </comment>
    <comment ref="B19" authorId="1" shapeId="0" xr:uid="{D34B7E22-7684-458B-B968-A330047D43DA}">
      <text>
        <r>
          <rPr>
            <sz val="9"/>
            <color indexed="81"/>
            <rFont val="Tahoma"/>
            <family val="2"/>
          </rPr>
          <t xml:space="preserve">Requires funder to estimate telecom by number of agencies
</t>
        </r>
      </text>
    </comment>
    <comment ref="B20" authorId="1" shapeId="0" xr:uid="{5902DECC-FD7F-4BAD-A8DB-364059143316}">
      <text>
        <r>
          <rPr>
            <sz val="9"/>
            <color indexed="81"/>
            <rFont val="Tahoma"/>
            <family val="2"/>
          </rPr>
          <t>Requires funder to estimate office supplies/utility costs by agency</t>
        </r>
      </text>
    </comment>
    <comment ref="B21" authorId="1" shapeId="0" xr:uid="{672A7D75-1BA1-44A8-8961-B36930371C6F}">
      <text>
        <r>
          <rPr>
            <sz val="9"/>
            <color indexed="81"/>
            <rFont val="Tahoma"/>
            <family val="2"/>
          </rPr>
          <t xml:space="preserve">Requires funder to estimate occupancy cost by agency
</t>
        </r>
      </text>
    </comment>
    <comment ref="C27" authorId="1" shapeId="0" xr:uid="{E46382F8-5618-47B2-9224-F34CE94933CE}">
      <text>
        <r>
          <rPr>
            <sz val="9"/>
            <color indexed="81"/>
            <rFont val="Tahoma"/>
            <family val="2"/>
          </rPr>
          <t>Total cost for training line item is based on assumption the purveyor will provide cross-agency trainings (if providers request their own agency-specific training, this will be less cost effective than what is calculated here).
Includes developer consultation.</t>
        </r>
      </text>
    </comment>
    <comment ref="C53" authorId="1" shapeId="0" xr:uid="{28876C67-B636-439E-B961-528C4C1A5563}">
      <text>
        <r>
          <rPr>
            <sz val="9"/>
            <color indexed="81"/>
            <rFont val="Tahoma"/>
            <family val="2"/>
          </rPr>
          <t xml:space="preserve">Accumulated administrative costs that jointly benefit the overall organization programs and objectives. Indirect cost pool typically includes accounting/finance, payroll, HR, IT, operating and maintenance costs, etc.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Gore, Kristen</author>
    <author xml:space="preserve">Brennen, Jason </author>
  </authors>
  <commentList>
    <comment ref="B4" authorId="0" shapeId="0" xr:uid="{1964C141-867E-40AA-AF4B-804C2C71797B}">
      <text>
        <r>
          <rPr>
            <sz val="10"/>
            <color theme="1"/>
            <rFont val="Segoe UI"/>
            <family val="2"/>
            <scheme val="minor"/>
          </rPr>
          <t>Enter the total number of anticipated agencies that will be involved with procurement. This will impact some training costs</t>
        </r>
      </text>
    </comment>
    <comment ref="B5" authorId="0" shapeId="0" xr:uid="{DFB70BA4-BDF1-498C-86C1-FC0FF65F181D}">
      <text>
        <r>
          <rPr>
            <sz val="10"/>
            <color theme="1"/>
            <rFont val="Segoe UI"/>
            <family val="2"/>
            <scheme val="minor"/>
          </rPr>
          <t>One full-time provider (direct staff person) can serve 12 -25 families in one quarter. For this calculation, we are estimating that one provider serves 15 families at any given time.</t>
        </r>
      </text>
    </comment>
    <comment ref="B6" authorId="0" shapeId="0" xr:uid="{4C90A415-DED5-4379-8033-D68D36BAD12D}">
      <text>
        <r>
          <rPr>
            <sz val="10"/>
            <color theme="1"/>
            <rFont val="Segoe UI"/>
            <family val="2"/>
            <scheme val="minor"/>
          </rPr>
          <t xml:space="preserve">Number of Provider per Coach varies greatly. Jurisdiction can input number of Providers below in the yellow box. Coaches can supervise 2-25 Providers each. </t>
        </r>
      </text>
    </comment>
    <comment ref="B7" authorId="0" shapeId="0" xr:uid="{9A78C3EA-86ED-4703-A9EC-C6160C60BAEF}">
      <text>
        <r>
          <rPr>
            <sz val="9"/>
            <color indexed="81"/>
            <rFont val="Tahoma"/>
            <family val="2"/>
          </rPr>
          <t xml:space="preserve">SafeCare Providers typically has a caseload of 12-25.  Recommended duration of service is 18-22 weeks. 
This calculation assumes a caseload of 15 X  (52 weeks per yr/18 weeks) X number of providers
</t>
        </r>
      </text>
    </comment>
    <comment ref="C10" authorId="1" shapeId="0" xr:uid="{69B07C3D-E22F-4430-AEC9-01F44443C09C}">
      <text>
        <r>
          <rPr>
            <sz val="9"/>
            <color indexed="81"/>
            <rFont val="Tahoma"/>
            <family val="2"/>
          </rPr>
          <t xml:space="preserve">
Coach often paid similarly to provider (not necessarily supervisor status), just different job responsibilities.
Coach can also see clients if they have fewer Providers that they are supervising.
Coaches must be connected to the same licensing agreement but they do not necessarily belong to the same agency. For instance, a county may designate two agencies in that county to deliver SafeCare. The licensing agreement will be drafted with the county and the county will select trainees from the 2 agencies to attend the Provider Workshop and become certified (e.g., 3 staff from agency A, 3 staff from agency B). For a team of 6 Providers, the Center typically recommends 1 Coach so the purveyor will work with the county as they designate 1 certified Provider to move up into the Coach role. 
</t>
        </r>
      </text>
    </comment>
    <comment ref="D10" authorId="1" shapeId="0" xr:uid="{B4D12768-344C-4CE8-84A3-B93B3F727376}">
      <text>
        <r>
          <rPr>
            <sz val="10"/>
            <color theme="1"/>
            <rFont val="Segoe UI"/>
            <family val="2"/>
            <scheme val="minor"/>
          </rPr>
          <t>SafeCare uses the term "Providers" to denote the individual providing services to the family, could also be known as direct service staff person, counselor or clinician, etc.
Number of Providers per Coach varies greatly. Coaches can supervise 2-25 Providers each.  
 Jurisdiction can alter the number of Providers here. In this placeholder calculation, we use 6 provider staff per coach</t>
        </r>
        <r>
          <rPr>
            <sz val="11"/>
            <color theme="1"/>
            <rFont val="Segoe UI"/>
            <family val="2"/>
            <scheme val="minor"/>
          </rPr>
          <t xml:space="preserve">.  </t>
        </r>
      </text>
    </comment>
    <comment ref="B17" authorId="0" shapeId="0" xr:uid="{CCC69121-90DF-4E26-A336-3D36A079E9AB}">
      <text>
        <r>
          <rPr>
            <sz val="9"/>
            <color indexed="81"/>
            <rFont val="Tahoma"/>
            <family val="2"/>
          </rPr>
          <t xml:space="preserve">Requires funder to estimate office supplies and utility costs by agency
</t>
        </r>
      </text>
    </comment>
    <comment ref="B18" authorId="1" shapeId="0" xr:uid="{3B14CC23-FDCA-4C90-94C4-9B649AE5A1FB}">
      <text>
        <r>
          <rPr>
            <sz val="9"/>
            <color indexed="81"/>
            <rFont val="Tahoma"/>
            <family val="2"/>
          </rPr>
          <t xml:space="preserve">Requires funder to estimate office/utility costs by agency
</t>
        </r>
      </text>
    </comment>
    <comment ref="B19" authorId="0" shapeId="0" xr:uid="{C8A44CB1-3A75-43D2-B220-C48091DE833A}">
      <text>
        <r>
          <rPr>
            <sz val="9"/>
            <color indexed="81"/>
            <rFont val="Tahoma"/>
            <family val="2"/>
          </rPr>
          <t xml:space="preserve">
Requires funder to estimate occupancy costs by agency
</t>
        </r>
      </text>
    </comment>
    <comment ref="C30" authorId="0" shapeId="0" xr:uid="{6B4EFD99-B5B2-46C6-A857-923FBBDDE927}">
      <text>
        <r>
          <rPr>
            <sz val="10"/>
            <color theme="1"/>
            <rFont val="Segoe UI"/>
            <family val="2"/>
            <scheme val="minor"/>
          </rPr>
          <t>Pre-implementation planning and orientation seminar references the bottom part of the SafeCare pyramid: 1) Planning. This includes set up of the foundation for SafeCare, planning and pre-implementation calls, on-site orientation and supervisor half-day training. The training for supervisors is for the agency administrators and the direct supervisors of the staff to be trained as Providers and Coaches. 
SafeCare provides these individuals with a Supervisor Seminar to orient them to the SafeCare model, curriculum, and implementation process. The cost of this event is bundled with the agency wide orientation and other pre-implementation activities (flat rate of $1890 regardless of the number of participants and the time required to plan the implementation). 
This calculation assumes all agencies and teams will be trained as a cohort.</t>
        </r>
      </text>
    </comment>
    <comment ref="C31" authorId="0" shapeId="0" xr:uid="{17ABA47B-B916-4930-8CED-2637DE3BC8EB}">
      <text>
        <r>
          <rPr>
            <sz val="10"/>
            <color theme="1"/>
            <rFont val="Segoe UI"/>
            <family val="2"/>
            <scheme val="minor"/>
          </rPr>
          <t>Provider training includes a 4 day workshop at the agency location or online. Training cost is the same for in person or virtual (besides the travel costs for the NSTRC Trainer). The Coach must attend Provider training before becoming a Coach.
Workshop training is a 4-days at provider location. Implementation support is provided for 6 months and includes regular team meetings and 1-1 coaching of trainees. Teams meet monthly to problem solve, ensure uptake, and monitor implementation progress. Provider’s sessions (up to 6) are reviewed for fidelity and they are coached individually to attain certification.
Both components are $2,822 per trainee
SafeCare then meets with the administrators on a monthly basis (for the first 6 months post-workshop) to provide updates on the health of the implementation.
Second level of pyramid: 2) Provider.</t>
        </r>
        <r>
          <rPr>
            <sz val="11"/>
            <color theme="1"/>
            <rFont val="Segoe UI"/>
            <family val="2"/>
            <scheme val="minor"/>
          </rPr>
          <t xml:space="preserve">
</t>
        </r>
      </text>
    </comment>
    <comment ref="E31" authorId="0" shapeId="0" xr:uid="{452F98E6-D9B9-460B-9EFD-6BDAA9BC1440}">
      <text>
        <r>
          <rPr>
            <sz val="11"/>
            <color theme="1"/>
            <rFont val="Segoe UI"/>
            <family val="2"/>
            <scheme val="minor"/>
          </rPr>
          <t>If the agency plans on hiring more teams after year 1, calculate estimated costs here. (# of Providers x $2822.</t>
        </r>
      </text>
    </comment>
    <comment ref="C32" authorId="0" shapeId="0" xr:uid="{91F46E12-D9B3-4E5C-B1A0-9B8E2066ACA8}">
      <text>
        <r>
          <rPr>
            <sz val="10"/>
            <color theme="1"/>
            <rFont val="Segoe UI"/>
            <family val="2"/>
            <scheme val="minor"/>
          </rPr>
          <t>Coach workshop training is a 2-day workshop ($1953 per coach trainee). Coach support includes 1-1 support of coach trainees that includes co-scoring of provider sessions to ensure reliability in coding and shadowing of coaching sessions that will lead to certification. NSTRC trainers continue to support the team meetings, now led by the local coach to prepare the agency for accreditation after NSTRC support is minimized ($3460 per coach trainee).
Third level of pyramid: 3) Coach.</t>
        </r>
      </text>
    </comment>
    <comment ref="E32" authorId="0" shapeId="0" xr:uid="{46589FAC-01A5-45C3-8D8D-104E5384A03A}">
      <text>
        <r>
          <rPr>
            <sz val="11"/>
            <color theme="1"/>
            <rFont val="Segoe UI"/>
            <family val="2"/>
            <scheme val="minor"/>
          </rPr>
          <t>If the agency plans on hiring more teams after year 1, calculate estimated costs here. (# of Coaches x $5413.</t>
        </r>
      </text>
    </comment>
    <comment ref="D33" authorId="0" shapeId="0" xr:uid="{76DB89DA-E269-4F97-835F-3EFCBC1F8B09}">
      <text>
        <r>
          <rPr>
            <sz val="10"/>
            <color theme="1"/>
            <rFont val="Segoe UI"/>
            <family val="2"/>
            <scheme val="minor"/>
          </rPr>
          <t>Rates vary based on location (flight prices, local per diem and government lodging rates). The approximate cost of travel to train 6 or less Providers in the US was $1800. The approximate cost of travel to train 3 or less Coaches in the US was $1300. A second Trainer would travel if the number of Provider trainees exceeded 7 or the number of Coach trainees exceeded 4. The second Trainer's travel costs would be slightly lower than the first Trainers (the two would share the rental car).
Adjust formula as needed.</t>
        </r>
      </text>
    </comment>
    <comment ref="E33" authorId="0" shapeId="0" xr:uid="{831FF1B3-14E2-4013-A0FD-DCE0DA120E38}">
      <text>
        <r>
          <rPr>
            <sz val="11"/>
            <color theme="1"/>
            <rFont val="Segoe UI"/>
            <family val="2"/>
            <scheme val="minor"/>
          </rPr>
          <t>Rates vary based on location (flight prices, local per diem and government lodging rates). The approximate cost of travel to train 6 or less Providers in the US was $1800. The approximate cost of travel to train 3 or less Coaches in the US was $1300. A second Trainer would travel if the number of Provider trainees exceeded 7 or the number of Coach trainees exceeded 4. The second Trainer's travel costs would be slightly lower than the first Trainers (the two would share the rental car).
Adjust formula as needed.</t>
        </r>
      </text>
    </comment>
    <comment ref="E35" authorId="1" shapeId="0" xr:uid="{AFD10662-22F6-4553-944E-F8788C23428C}">
      <text>
        <r>
          <rPr>
            <sz val="9"/>
            <color indexed="81"/>
            <rFont val="Tahoma"/>
            <family val="2"/>
          </rPr>
          <t xml:space="preserve">The accreditation process is a way for the NSTRC to assure that each sustainable agency is maintaining a high-quality implementation of SafeCare. 
An agency typically completes their first accreditation 18-24 months after their first Provider Workshop. 
The cost of this review is combined with the "licensing" of the active Providers, Coaches, and Trainers at each organization. The annual accreditation fee begins at $2000 a site and this fee includes licenses for a team of 4 Providers and 1 Coach. Additional licenses can be purchased as follows:
Provider licenses cost $250 annually, or $3000 for unlimited annual provider licenses.
Coach licenses cost $500 annually, or $1000 for unlimited annual coach licenses.
Trainer licenses cost $3000 annually, or $6000 for unlimited annual trainer licenses.
This calculation uses individual license fees for each role.  However, depending on the number of staff involved, consider whether unlimited option is more economical. </t>
        </r>
      </text>
    </comment>
    <comment ref="E36" authorId="1" shapeId="0" xr:uid="{567C58A2-DC59-4F0C-A591-F0FA1EE59587}">
      <text>
        <r>
          <rPr>
            <sz val="9"/>
            <color indexed="81"/>
            <rFont val="Tahoma"/>
            <family val="2"/>
          </rPr>
          <t xml:space="preserve">
There are three avenues to provide fidelity:
1) Agency continues to contract with the NSTRC and SafeCare Center staff to offer monthly fidelity checks and coaching calls with the agency Providers to maintain their monthly requirements. This is the least "cost effective" plan as each coaching unit/fidelity check costs $200 per Provider per month.
2) Agency trains and certifies an agency Coach who takes over the monthly coaching and fidelity assessment of the agency Providers. This is the most cost-efficient plan as a certified Coach can support 6+ Providers. An agency is eligible to train a Coach as soon as the selected staff is certified as a Provider. Most agencies train a Coach 6 months after their Provider Workshop and that Coach is often certified within 4 months after they complete the Coach Workshop. The cost to train a certify an agency Coach is ~$5,500.
3) Agency has Trainer provide the fidelity piece to the agency Providers. Trainers can complete this monthly task though most agencies use Coaches rather than the Trainers to provide this service. Agencies are eligible to train a Trainer typically 30 months following their first Provider Workshop. The cost to train and certify an agency Trainer is ~$14,000. Most agencies do not train a Trainer but rather maintain their implementation at the Coach stage.
This placeholder calculation assumes option 2. </t>
        </r>
      </text>
    </comment>
    <comment ref="D42" authorId="0" shapeId="0" xr:uid="{19C213AB-6EA1-4983-86E1-FE32CC92ED12}">
      <text>
        <r>
          <rPr>
            <sz val="11"/>
            <color theme="1"/>
            <rFont val="Segoe UI"/>
            <family val="2"/>
            <scheme val="minor"/>
          </rPr>
          <t>Transportation is calculated based on the assumption that the Coach is not traveling to see families.</t>
        </r>
      </text>
    </comment>
    <comment ref="E42" authorId="0" shapeId="0" xr:uid="{F73EC4DC-E9DB-42F1-99A0-7D11CF9EFADC}">
      <text>
        <r>
          <rPr>
            <sz val="11"/>
            <color theme="1"/>
            <rFont val="Segoe UI"/>
            <family val="2"/>
            <scheme val="minor"/>
          </rPr>
          <t>Transportation is calculated based on the assumption that the Coach is not traveling to see families.</t>
        </r>
      </text>
    </comment>
    <comment ref="C51" authorId="1" shapeId="0" xr:uid="{D79970AF-8459-45D6-BA23-D0D8C72C9E3A}">
      <text>
        <r>
          <rPr>
            <sz val="9"/>
            <color indexed="81"/>
            <rFont val="Tahoma"/>
            <family val="2"/>
          </rPr>
          <t xml:space="preserve">Accumulated administrative costs that jointly benefit the overall organization programs and objectives. Indirect cost pool typically includes accounting/finance, payroll, HR, IT, operating and maintenance costs, etc.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Gore, Kristen</author>
    <author>Blatt, Amber</author>
    <author>tc={F194265E-09E2-4B0A-BD03-BEA244A279B7}</author>
    <author>tc={A867D410-A21F-44A6-9B22-E65228E817D2}</author>
    <author>tc={E45482DF-7E87-4C7F-A47F-03542943990B}</author>
  </authors>
  <commentList>
    <comment ref="B6" authorId="0" shapeId="0" xr:uid="{00000000-0006-0000-1600-000001000000}">
      <text>
        <r>
          <rPr>
            <sz val="9"/>
            <color indexed="81"/>
            <rFont val="Tahoma"/>
            <family val="2"/>
          </rPr>
          <t xml:space="preserve">The purveyor sets no caseload requirement or number of cases to be served over a certain period. Triple P's standard assumptions suggest 25 families per practitioner per year &amp; suggest able to be edited by jurisdictions. Please be mindful if a staff is trained in group and standard the number of cases served for each.  
Expectations about caseload and %FTE should be considered when estimating number of cases to be served annually. </t>
        </r>
      </text>
    </comment>
    <comment ref="B7" authorId="0" shapeId="0" xr:uid="{00000000-0006-0000-1600-000002000000}">
      <text>
        <r>
          <rPr>
            <sz val="9"/>
            <color indexed="81"/>
            <rFont val="Tahoma"/>
            <family val="2"/>
          </rPr>
          <t xml:space="preserve">The purveyor sets no caseload requirement or number of cases to be served over a certain period. Triple Ps standard assumptions suggest a total of 30 families per year (3 groups of 10 families per group). Please be mindful if a staff is trained in group and standard the number of cases served for each.
Expectations about caseload and %FTE should be considered when estimating number of cases to be served annually. </t>
        </r>
      </text>
    </comment>
    <comment ref="B8" authorId="0" shapeId="0" xr:uid="{00000000-0006-0000-1600-000003000000}">
      <text>
        <r>
          <rPr>
            <sz val="9"/>
            <color indexed="81"/>
            <rFont val="Tahoma"/>
            <family val="2"/>
          </rPr>
          <t>Parents complete Self-Directed Triple P with the help of a workbook, without requiring support from a practitioner although practitioner support is an option should a jurisdiction wish to provide.</t>
        </r>
      </text>
    </comment>
    <comment ref="B9" authorId="0" shapeId="0" xr:uid="{00000000-0006-0000-1600-000004000000}">
      <text>
        <r>
          <rPr>
            <sz val="9"/>
            <color indexed="81"/>
            <rFont val="Tahoma"/>
            <family val="2"/>
          </rPr>
          <t>Parents complete Online Triple P with the help of a workbook, without requiring support from a practitioner although practitioner support is an option should a jurisdiction wish to provide.</t>
        </r>
      </text>
    </comment>
    <comment ref="B11" authorId="0" shapeId="0" xr:uid="{00000000-0006-0000-1600-000005000000}">
      <text>
        <r>
          <rPr>
            <sz val="9"/>
            <color indexed="81"/>
            <rFont val="Tahoma"/>
            <family val="2"/>
          </rPr>
          <t xml:space="preserve">The recommended duration of service is 10-12 weeks for all Triple P models. </t>
        </r>
      </text>
    </comment>
    <comment ref="B16" authorId="1" shapeId="0" xr:uid="{00000000-0006-0000-1600-000006000000}">
      <text>
        <r>
          <rPr>
            <sz val="9"/>
            <color indexed="81"/>
            <rFont val="Tahoma"/>
            <family val="2"/>
          </rPr>
          <t>Supervisors are not required to be trained in Triple P to provide supervision, but recommended for clinic and child welfare populations.
Non-practicing supervisors may wish to observe/audit training.</t>
        </r>
      </text>
    </comment>
    <comment ref="B17" authorId="1" shapeId="0" xr:uid="{00000000-0006-0000-1600-000007000000}">
      <text>
        <r>
          <rPr>
            <sz val="9"/>
            <color indexed="81"/>
            <rFont val="Tahoma"/>
            <family val="2"/>
          </rPr>
          <t>Supervisors are not required to be trained in Triple P to provide supervision, but recommended for child welfare populations.</t>
        </r>
      </text>
    </comment>
    <comment ref="B22" authorId="0" shapeId="0" xr:uid="{00000000-0006-0000-1600-000008000000}">
      <text>
        <r>
          <rPr>
            <sz val="9"/>
            <color indexed="81"/>
            <rFont val="Tahoma"/>
            <family val="2"/>
          </rPr>
          <t xml:space="preserve">Include an attrition rate for employees expected to leave and be trained all within the first year. </t>
        </r>
      </text>
    </comment>
    <comment ref="C24" authorId="2" shapeId="0" xr:uid="{F194265E-09E2-4B0A-BD03-BEA244A279B7}">
      <text>
        <t>[Threaded comment]
Your version of Excel allows you to read this threaded comment; however, any edits to it will get removed if the file is opened in a newer version of Excel. Learn more: https://go.microsoft.com/fwlink/?linkid=870924
Comment:
    Requires funder to estimate occupancy cost by agency</t>
      </text>
    </comment>
    <comment ref="C25" authorId="3" shapeId="0" xr:uid="{A867D410-A21F-44A6-9B22-E65228E817D2}">
      <text>
        <t>[Threaded comment]
Your version of Excel allows you to read this threaded comment; however, any edits to it will get removed if the file is opened in a newer version of Excel. Learn more: https://go.microsoft.com/fwlink/?linkid=870924
Comment:
    Requires funder to estimate occupancy cost by agency</t>
      </text>
    </comment>
    <comment ref="C26" authorId="4" shapeId="0" xr:uid="{E45482DF-7E87-4C7F-A47F-03542943990B}">
      <text>
        <t>[Threaded comment]
Your version of Excel allows you to read this threaded comment; however, any edits to it will get removed if the file is opened in a newer version of Excel. Learn more: https://go.microsoft.com/fwlink/?linkid=870924
Comment:
    Requires funder to estimate occupancy cost by agency</t>
      </text>
    </comment>
    <comment ref="C31" authorId="1" shapeId="0" xr:uid="{00000000-0006-0000-1600-00000C000000}">
      <text>
        <r>
          <rPr>
            <sz val="9"/>
            <color indexed="81"/>
            <rFont val="Tahoma"/>
            <family val="2"/>
          </rPr>
          <t>Prices  below are provided as cost per practitioner for 'Open Enrollment' training. Please note that both Standard Triple P and Group Triple P can be accessed either as 'Agency Training' or 'Open Enrollment'. Discounted rates are available for groups of more than 10 if training is conducted via Agency Training. Please contact us for a specific quote.
Agency Training: Procured by providers who are looking to accredit more than 10 practitioners. Training is provided exclusively to the one organization/initiative. 
Open Enrollment: Procured by individuals or providers with less than 10 participants.Training is organized by TPA and the schedule is available on the Triple P website. 
If a practitioner is already accredited in Standard Triple P, they have the option to undertake training in Group Triple P as an 'Extension' course at a lower cost and vice versa. Extension courses can be delivered via Open Enrollment or Agency Training.</t>
        </r>
      </text>
    </comment>
    <comment ref="C32" authorId="1" shapeId="0" xr:uid="{00000000-0006-0000-1600-00000D000000}">
      <text>
        <r>
          <rPr>
            <sz val="9"/>
            <color indexed="81"/>
            <rFont val="Tahoma"/>
            <family val="2"/>
          </rPr>
          <t>$2,465. Cost per participant to be trained in Standard Triple P via Open Enrollment. Discount applies for groups of more than 10 if Agency Training is undertaken.
Training includes pre-accreditation workshop, accreditation, and Practitioner Kit (including facilitator manual) for each practitioner. Costs are exclusive of Sales Tax. Course fees and Sales Tax charged at prevailing rate and subject to change at any time.
Costs include training, a pre-accreditation workshop, accreditation and practitioner training resources including practitioner manual. Training includes three days for training, one full-day for preaccreditation, plus 1/2 day accreditation (per trainee). 
Each family participating in Standard Triple P requires a copy of the Every Parent's Family Workbook. These are sold separately, see costs provided in program costs below.</t>
        </r>
      </text>
    </comment>
    <comment ref="C33" authorId="1" shapeId="0" xr:uid="{00000000-0006-0000-1600-00000E000000}">
      <text>
        <r>
          <rPr>
            <sz val="9"/>
            <color indexed="81"/>
            <rFont val="Tahoma"/>
            <family val="2"/>
          </rPr>
          <t>$2,465. Cost per participant to be trained in Group Triple P via Open Enrollment. Discount applies for groups of more than 10 if Agency Training is undertaken.
Training includes pre-accreditation workshop, accreditation, and Practitioner Kit (includes facilitator manual) for each practitioner. Costs are exclusive of Sales Tax. Course fees and Sales Tax charged at prevailing rate and subjuect to change at any time.
Costs include training, a pre-accreditation workshop, accreditation and practitioner training resources including practitioner manual. Training includes three days for training, one full-day for preaccreditation, plus 1/2 day accreditation (per trainee). 
Each family participating in Group Triple P requires a copy of the Every Parent's Group Workbook. These are sold separately, see costs provided in program costs below.</t>
        </r>
      </text>
    </comment>
    <comment ref="C37" authorId="1" shapeId="0" xr:uid="{00000000-0006-0000-1600-00000F000000}">
      <text>
        <r>
          <rPr>
            <sz val="9"/>
            <color indexed="81"/>
            <rFont val="Tahoma"/>
            <family val="2"/>
          </rPr>
          <t xml:space="preserve">Triple P America provides a wide range of support options to support practitioners and program implementation. Below are two examples of recommended support options. Contact Triple P America to discuss options best suited to your jurisdiction and workforce. </t>
        </r>
      </text>
    </comment>
    <comment ref="C38" authorId="1" shapeId="0" xr:uid="{00000000-0006-0000-1600-000010000000}">
      <text>
        <r>
          <rPr>
            <sz val="9"/>
            <color indexed="81"/>
            <rFont val="Tahoma"/>
            <family val="2"/>
          </rPr>
          <t>$125 per practitioner to attend a half-day workshop conducted via videoconference and facilitated by a Triple P Trainer. Input the number the organization intends to purchase.
These workshops focus on a range of different topics and provide an opportunity for practitioners to ask questions and fine-tune their skills, strategies and knowledge about Triple P programs.  
Remote half-day workshops are also available as part of Agency Training for up to 20 practitioners. Please contact us for a quote.</t>
        </r>
      </text>
    </comment>
    <comment ref="C39" authorId="0" shapeId="0" xr:uid="{00000000-0006-0000-1600-000011000000}">
      <text>
        <r>
          <rPr>
            <sz val="9"/>
            <color indexed="81"/>
            <rFont val="Tahoma"/>
            <family val="2"/>
          </rPr>
          <t>$235 for one hour of telephone support from a Triple P Trainer. This can be provided to individual practitioners or in groups of up to 6.</t>
        </r>
      </text>
    </comment>
    <comment ref="C44" authorId="1" shapeId="0" xr:uid="{00000000-0006-0000-1600-000012000000}">
      <text>
        <r>
          <rPr>
            <b/>
            <sz val="9"/>
            <color indexed="81"/>
            <rFont val="Tahoma"/>
            <family val="2"/>
          </rPr>
          <t>Every family participating in Triple P should receive a program-specific workbook or access code if accessing Triple P Online. These are purchased by the provider or practitioner, or can be purchased directly by the family in the case of Self-Directed Triple P and Triple P Online. The costs below are per one workbook or one access code. Costs are exclusive of Freight and Handling and exclusive of Sales Tax. Sales Tax charged at prevailing rate and subject to change at any time.</t>
        </r>
      </text>
    </comment>
    <comment ref="C47" authorId="1" shapeId="0" xr:uid="{00000000-0006-0000-1600-000013000000}">
      <text>
        <r>
          <rPr>
            <b/>
            <sz val="9"/>
            <color indexed="81"/>
            <rFont val="Tahoma"/>
            <family val="2"/>
          </rPr>
          <t>Every family participating in Triple P should receive a program-specific workbook or access code if accessing Triple P Online. These are purchased by the provider or practitioner, or can be purchased directly by the family in the case of Self-Directed Triple P and Triple P Online. The costs below are per one workbook or one access code. Costs are exclusive of Freight and Handling and exclusive of Sales Tax. Sales Tax charged at prevailing rate and subject to change at any time.</t>
        </r>
      </text>
    </comment>
    <comment ref="C50" authorId="1" shapeId="0" xr:uid="{00000000-0006-0000-1600-000014000000}">
      <text>
        <r>
          <rPr>
            <b/>
            <sz val="9"/>
            <color indexed="81"/>
            <rFont val="Tahoma"/>
            <family val="2"/>
          </rPr>
          <t>Every family participating in Triple P should receive a program-specific workbook or access code if accessing Triple P Online. These are purchased by the provider or practitioner, or can be purchased directly by the family in the case of Self-Directed Triple P and Triple P Online. The costs below are per one workbook or one access code. Costs are exclusive of Freight and Handling and exclusive of Sales Tax. Sales Tax charged at prevailing rate and subject to change at any time.</t>
        </r>
      </text>
    </comment>
    <comment ref="C53" authorId="1" shapeId="0" xr:uid="{00000000-0006-0000-1600-000015000000}">
      <text>
        <r>
          <rPr>
            <b/>
            <sz val="9"/>
            <color indexed="81"/>
            <rFont val="Tahoma"/>
            <family val="2"/>
          </rPr>
          <t>Every family participating in Triple P should receive a program-specific workbook or access code if accessing Triple P Online. These are purchased by the provider or practitioner, or can be purchased directly by the family in the case of Self-Directed Triple P and Triple P Online. The costs below are per one workbook or one access code. Costs are exclusive of Freight and Handling and exclusive of Sales Tax. Sales Tax charged at prevailing rate and subject to change at any time.</t>
        </r>
      </text>
    </comment>
    <comment ref="C70" authorId="0" shapeId="0" xr:uid="{00000000-0006-0000-1600-000016000000}">
      <text>
        <r>
          <rPr>
            <sz val="9"/>
            <color indexed="81"/>
            <rFont val="Tahoma"/>
            <family val="2"/>
          </rPr>
          <t>Accumulated administrative costs that jointly benefit the overall organization programs and objectives. Indirect cost pool typically includes accounting/finance, payroll, HR, IT, operating and maintenance costs,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Gore, Kristen</author>
    <author xml:space="preserve">Brennen, Jason </author>
  </authors>
  <commentList>
    <comment ref="C5" authorId="0" shapeId="0" xr:uid="{1FAFB0B9-4198-49AA-8905-9D8A396EFD2C}">
      <text>
        <r>
          <rPr>
            <sz val="9"/>
            <color indexed="81"/>
            <rFont val="Tahoma"/>
            <family val="2"/>
          </rPr>
          <t xml:space="preserve">
Number of agencies proposing to implement Child First*
Agencies generally start with a UNIT of 4 teams (each team has a Clinician and a Care Coordinator) and a full time Clinical Supervisor</t>
        </r>
      </text>
    </comment>
    <comment ref="C6" authorId="0" shapeId="0" xr:uid="{27A0AD9A-58B5-47F3-B7CD-FEE3AA693875}">
      <text>
        <r>
          <rPr>
            <sz val="9"/>
            <color indexed="81"/>
            <rFont val="Tahoma"/>
            <family val="2"/>
          </rPr>
          <t xml:space="preserve">
An agency starts with a minimum of 4 teams; each team is made up of a Clinician and a Care Coordinator who work together with each family.</t>
        </r>
      </text>
    </comment>
    <comment ref="C7" authorId="0" shapeId="0" xr:uid="{55A6CE68-D432-4B5F-85AE-C63865593AE3}">
      <text>
        <r>
          <rPr>
            <sz val="9"/>
            <color indexed="81"/>
            <rFont val="Tahoma"/>
            <family val="2"/>
          </rPr>
          <t xml:space="preserve">
Caseload ranges 10-14</t>
        </r>
      </text>
    </comment>
    <comment ref="C8" authorId="0" shapeId="0" xr:uid="{F1B4F74C-4071-40B6-9517-B47A805C23C0}">
      <text>
        <r>
          <rPr>
            <sz val="9"/>
            <color indexed="81"/>
            <rFont val="Tahoma"/>
            <family val="2"/>
          </rPr>
          <t xml:space="preserve">
Each team generally serves 20-25 families/year.
This calculation assumes 22 cases served by a team per year</t>
        </r>
      </text>
    </comment>
    <comment ref="C9" authorId="0" shapeId="0" xr:uid="{644E987D-F8ED-448F-B279-1443D73BD6CE}">
      <text>
        <r>
          <rPr>
            <sz val="9"/>
            <color indexed="81"/>
            <rFont val="Tahoma"/>
            <family val="2"/>
          </rPr>
          <t xml:space="preserve">
4 teams = 8 people + a full time Clinical Supervisor</t>
        </r>
      </text>
    </comment>
    <comment ref="C12" authorId="0" shapeId="0" xr:uid="{4E3EA094-6635-4872-BE77-642FE105F280}">
      <text>
        <r>
          <rPr>
            <sz val="9"/>
            <color indexed="81"/>
            <rFont val="Tahoma"/>
            <family val="2"/>
          </rPr>
          <t xml:space="preserve">
Note: Clinician &amp; Care Coordinator work together</t>
        </r>
      </text>
    </comment>
    <comment ref="B15" authorId="0" shapeId="0" xr:uid="{E770278B-9FEB-4B82-9369-02FBEF82B7DD}">
      <text>
        <r>
          <rPr>
            <sz val="9"/>
            <color indexed="81"/>
            <rFont val="Tahoma"/>
            <family val="2"/>
          </rPr>
          <t>One agency starts with a minimum of 4 teams, each team is made up of a Clinician and a Care Coordinator.</t>
        </r>
      </text>
    </comment>
    <comment ref="B21" authorId="1" shapeId="0" xr:uid="{CD0ADD5B-1FB3-4E14-9F98-FAE165C9B3C9}">
      <text>
        <r>
          <rPr>
            <sz val="9"/>
            <color indexed="81"/>
            <rFont val="Tahoma"/>
            <family val="2"/>
          </rPr>
          <t>Requires funder to estimate office supplies/utility costs by agency</t>
        </r>
      </text>
    </comment>
    <comment ref="B22" authorId="1" shapeId="0" xr:uid="{E6DB5F15-C303-4EFF-9029-C619822A5A71}">
      <text>
        <r>
          <rPr>
            <sz val="9"/>
            <color indexed="81"/>
            <rFont val="Tahoma"/>
            <family val="2"/>
          </rPr>
          <t>Requires funder to estimate occupancy cost by agency</t>
        </r>
      </text>
    </comment>
    <comment ref="C60" authorId="1" shapeId="0" xr:uid="{0D310954-BD6B-4C93-AFCB-4CEACAC72811}">
      <text>
        <r>
          <rPr>
            <sz val="9"/>
            <color indexed="81"/>
            <rFont val="Tahoma"/>
            <family val="2"/>
          </rPr>
          <t xml:space="preserve">Accumulated administrative costs that jointly benefit the overall organization programs and objectives. Indirect cost pool typically includes accounting/finance, payroll, HR, IT, operating and maintenance costs, etc.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 xml:space="preserve">Brennen, Jason </author>
    <author>Gore, Kristen</author>
  </authors>
  <commentList>
    <comment ref="B6" authorId="0" shapeId="0" xr:uid="{796BA983-595A-4ECF-9D72-EC7469D025F3}">
      <text>
        <r>
          <rPr>
            <sz val="9"/>
            <color indexed="81"/>
            <rFont val="Tahoma"/>
            <family val="2"/>
          </rPr>
          <t xml:space="preserve">Total number across all provider agencies (does not assume all provider sites will have the same number of teams)
</t>
        </r>
      </text>
    </comment>
    <comment ref="B7" authorId="1" shapeId="0" xr:uid="{BFCF1D1D-8123-4BE3-A95F-C4A3A339DC27}">
      <text>
        <r>
          <rPr>
            <sz val="9"/>
            <color indexed="81"/>
            <rFont val="Tahoma"/>
            <family val="2"/>
          </rPr>
          <t xml:space="preserve">
Caseload size is 15 to 20 cases at a time.
If a therapist carries 15 cases in 16 week time periods, this would occur 3 times in a year. 
Calculated based on number of therapists, times 15 cases, times 3.</t>
        </r>
      </text>
    </comment>
    <comment ref="B11" authorId="1" shapeId="0" xr:uid="{8008C3EE-A504-426C-880C-107C3DF62E05}">
      <text>
        <r>
          <rPr>
            <sz val="9"/>
            <color indexed="81"/>
            <rFont val="Tahoma"/>
            <family val="2"/>
          </rPr>
          <t>Staffing ratio varies, the developer recommends 1 clinical supervisor to 8 to 10 therapists. Fill in what your jursidiction or organization expects for the staffing ratio.</t>
        </r>
      </text>
    </comment>
    <comment ref="B17" authorId="0" shapeId="0" xr:uid="{84CF1AF6-5658-44AB-BE99-7FE7C149943A}">
      <text>
        <r>
          <rPr>
            <sz val="9"/>
            <color indexed="81"/>
            <rFont val="Tahoma"/>
            <family val="2"/>
          </rPr>
          <t xml:space="preserve">Requires funder to estimate telecom by number of agencies
</t>
        </r>
      </text>
    </comment>
    <comment ref="B18" authorId="0" shapeId="0" xr:uid="{18834B36-A725-4ED2-8A7D-1E90B9F141CB}">
      <text>
        <r>
          <rPr>
            <sz val="9"/>
            <color indexed="81"/>
            <rFont val="Tahoma"/>
            <family val="2"/>
          </rPr>
          <t>Requires funder to estimate office supplies/utility costs by agency</t>
        </r>
      </text>
    </comment>
    <comment ref="B19" authorId="0" shapeId="0" xr:uid="{F18161B7-DAE4-4CEC-8979-1648D90B7F37}">
      <text>
        <r>
          <rPr>
            <sz val="9"/>
            <color indexed="81"/>
            <rFont val="Tahoma"/>
            <family val="2"/>
          </rPr>
          <t xml:space="preserve">Requires funder to estimate occupancy cost by agency
</t>
        </r>
      </text>
    </comment>
    <comment ref="C59" authorId="0" shapeId="0" xr:uid="{0DD9AE9C-E1DA-4CA9-B1F5-96459B961464}">
      <text>
        <r>
          <rPr>
            <sz val="9"/>
            <color indexed="81"/>
            <rFont val="Tahoma"/>
            <family val="2"/>
          </rPr>
          <t xml:space="preserve">Accumulated administrative costs that jointly benefit the overall organization programs and objectives. Indirect cost pool typically includes accounting/finance, payroll, HR, IT, operating and maintenance costs, etc.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Brennen, Jason </author>
  </authors>
  <commentList>
    <comment ref="B5" authorId="0" shapeId="0" xr:uid="{50D8223C-43DB-4C56-AB90-5341B71BE2FD}">
      <text>
        <r>
          <rPr>
            <sz val="9"/>
            <color indexed="81"/>
            <rFont val="Tahoma"/>
            <family val="2"/>
          </rPr>
          <t xml:space="preserve">The purveyor sets no caseload requirement or number of cases to be served over a certain period.   
Expectations about caseload and %FTE should be considered when estimating number of cases to be served annually. 
</t>
        </r>
      </text>
    </comment>
    <comment ref="B6" authorId="0" shapeId="0" xr:uid="{25DAC2A5-C628-4B53-92A9-51CCD4F3B108}">
      <text>
        <r>
          <rPr>
            <sz val="9"/>
            <color indexed="81"/>
            <rFont val="Tahoma"/>
            <family val="2"/>
          </rPr>
          <t xml:space="preserve">The recommended duration of service is 52 weeks. However, based on previous studies, the average duration of service is between 20-36 weeks.  The calculation here uses 36 weeks per case. 
 Number of weeks in a year (52 weeks) is divied by average duration of service (36 weeks)  X  caseload X number of therapists </t>
        </r>
      </text>
    </comment>
    <comment ref="B9" authorId="0" shapeId="0" xr:uid="{3B09AA1B-04A3-479F-BA5E-2C447E7C4F45}">
      <text>
        <r>
          <rPr>
            <sz val="9"/>
            <color indexed="81"/>
            <rFont val="Tahoma"/>
            <family val="2"/>
          </rPr>
          <t>No defined staffing ratio</t>
        </r>
      </text>
    </comment>
    <comment ref="C16" authorId="0" shapeId="0" xr:uid="{97E94806-D1BA-42CC-B583-1299C8A108B8}">
      <text>
        <r>
          <rPr>
            <sz val="9"/>
            <color indexed="81"/>
            <rFont val="Tahoma"/>
            <family val="2"/>
          </rPr>
          <t xml:space="preserve">
Requires funder to estimate occupancy cost by agency</t>
        </r>
      </text>
    </comment>
    <comment ref="C17" authorId="0" shapeId="0" xr:uid="{51CAF4CC-4A28-4D37-932D-1E5E626E8313}">
      <text>
        <r>
          <rPr>
            <sz val="9"/>
            <color indexed="81"/>
            <rFont val="Tahoma"/>
            <family val="2"/>
          </rPr>
          <t xml:space="preserve">
Requires funder to estimate occupancy cost by agency</t>
        </r>
      </text>
    </comment>
    <comment ref="C18" authorId="0" shapeId="0" xr:uid="{55474A0D-E20E-488D-97A9-161B6AF7FD67}">
      <text>
        <r>
          <rPr>
            <sz val="9"/>
            <color indexed="81"/>
            <rFont val="Tahoma"/>
            <family val="2"/>
          </rPr>
          <t xml:space="preserve">
Requires funder to estimate occupancy cost by agency</t>
        </r>
      </text>
    </comment>
    <comment ref="E23" authorId="0" shapeId="0" xr:uid="{68DA0266-E6C7-4304-9FA6-74F7BF17AC8A}">
      <text>
        <r>
          <rPr>
            <sz val="9"/>
            <color indexed="81"/>
            <rFont val="Tahoma"/>
            <family val="2"/>
          </rPr>
          <t xml:space="preserve"> Any more participants will require the provider to discuss with trainers to determine whether an additional consultation call needs to be purchased.
</t>
        </r>
      </text>
    </comment>
    <comment ref="E27" authorId="0" shapeId="0" xr:uid="{9543F164-7BE5-4924-8947-201B0CB9973A}">
      <text>
        <r>
          <rPr>
            <sz val="9"/>
            <color indexed="81"/>
            <rFont val="Tahoma"/>
            <family val="2"/>
          </rPr>
          <t xml:space="preserve">At a minimum all participants need to have the following books. 
Required: Child Parent Psychotherapy Manual - Make sure to purchase the 2nd Edition Lieberman, A.F., Ghosh Ippen, &amp; Van Horn, P. (2015). Don’t hit my mommy: A manual for Child-Parent Psychotherapy with young children exposed to violence and other trauma. Zero to Three Press: Washington, D.C. 
Recommended: Book Describing Conceptual Framework, Intervention Modalities and Case Examples Lieberman, A.F. &amp; Van Horn, P. (2008). Psychotherapy with infants and young children:
</t>
        </r>
      </text>
    </comment>
    <comment ref="C31" authorId="0" shapeId="0" xr:uid="{4BA028E5-41E2-4D68-8176-1724B21F3FC9}">
      <text>
        <r>
          <rPr>
            <sz val="9"/>
            <color indexed="81"/>
            <rFont val="Tahoma"/>
            <family val="2"/>
          </rPr>
          <t xml:space="preserve">Consultation around participant and site selection and readiness to implement CPP
</t>
        </r>
      </text>
    </comment>
    <comment ref="C32" authorId="0" shapeId="0" xr:uid="{93F242DC-3EB9-4076-9472-16184255F2F3}">
      <text>
        <r>
          <rPr>
            <sz val="9"/>
            <color indexed="81"/>
            <rFont val="Tahoma"/>
            <family val="2"/>
          </rPr>
          <t xml:space="preserve"> Monthly calls for CPP supervisors (in addition to participating in consult calls) focusing on CPP supervision. Recommended especially for large system trainings as a way to support sustainability. Minimum of 2 hours.
</t>
        </r>
      </text>
    </comment>
    <comment ref="C33" authorId="0" shapeId="0" xr:uid="{1CA2C5EF-A64A-45C1-815D-999EE44D092D}">
      <text>
        <r>
          <rPr>
            <sz val="9"/>
            <color indexed="81"/>
            <rFont val="Tahoma"/>
            <family val="2"/>
          </rPr>
          <t xml:space="preserve">Usually once a quarter or once every 6 months
</t>
        </r>
      </text>
    </comment>
    <comment ref="C34" authorId="0" shapeId="0" xr:uid="{DEE93F1F-5908-474E-AAEA-F4CD32F8A403}">
      <text>
        <r>
          <rPr>
            <sz val="9"/>
            <color indexed="81"/>
            <rFont val="Tahoma"/>
            <family val="2"/>
          </rPr>
          <t xml:space="preserve">Different trainers offer training in areas foundational to CPP, including but not limited to: 1) Core trauma concepts and developing trauma-informed systems; 2) Diversity-informed practice; 3) Historical trauma; 4) Parent-child relationship assessment; 5) Child development. Foundational trainings are often selected based on the needs of participants and the system and the capacities of the trainer
</t>
        </r>
      </text>
    </comment>
    <comment ref="C57" authorId="0" shapeId="0" xr:uid="{42EC991E-D88F-4C31-BFAD-99A5B7334312}">
      <text>
        <r>
          <rPr>
            <sz val="9"/>
            <color indexed="81"/>
            <rFont val="Tahoma"/>
            <family val="2"/>
          </rPr>
          <t xml:space="preserve">Accumulated administrative costs that jointly benefit the overall organization programs and objectives. Indirect cost pool typically includes accounting/finance, payroll, HR, IT, operating and maintenance costs, etc.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Brennen, Jason </author>
    <author>Gore, Kristen</author>
  </authors>
  <commentList>
    <comment ref="B9" authorId="0" shapeId="0" xr:uid="{0A06A79C-DD60-4137-A680-CD62E61B24A1}">
      <text>
        <r>
          <rPr>
            <sz val="9"/>
            <color indexed="81"/>
            <rFont val="Tahoma"/>
            <family val="2"/>
          </rPr>
          <t xml:space="preserve">No defined staffing ratio
</t>
        </r>
      </text>
    </comment>
    <comment ref="C18" authorId="0" shapeId="0" xr:uid="{4A0FA7E6-B730-4AAF-8684-9DBF64CFD8B5}">
      <text>
        <r>
          <rPr>
            <sz val="9"/>
            <color indexed="81"/>
            <rFont val="Tahoma"/>
            <family val="2"/>
          </rPr>
          <t xml:space="preserve">
Requires funder to estimate occupancy cost by agency</t>
        </r>
      </text>
    </comment>
    <comment ref="C19" authorId="0" shapeId="0" xr:uid="{B91AB116-8891-4E9E-838D-CEB3A04DEF32}">
      <text>
        <r>
          <rPr>
            <sz val="9"/>
            <color indexed="81"/>
            <rFont val="Tahoma"/>
            <family val="2"/>
          </rPr>
          <t xml:space="preserve">
Requires funder to estimate occupancy cost by agency</t>
        </r>
      </text>
    </comment>
    <comment ref="C20" authorId="0" shapeId="0" xr:uid="{EAAE540D-6BBD-44C5-9F29-9C7A794D00B8}">
      <text>
        <r>
          <rPr>
            <sz val="9"/>
            <color indexed="81"/>
            <rFont val="Tahoma"/>
            <family val="2"/>
          </rPr>
          <t xml:space="preserve">
Requires funder to estimate occupancy cost by agency</t>
        </r>
      </text>
    </comment>
    <comment ref="C27" authorId="0" shapeId="0" xr:uid="{00000000-0006-0000-0700-000001000000}">
      <text>
        <r>
          <rPr>
            <sz val="9"/>
            <color indexed="81"/>
            <rFont val="Tahoma"/>
            <family val="2"/>
          </rPr>
          <t xml:space="preserve">Total cost for this  training line item is based on assumption that each provider agency will have their own training.  If some providers coordinate with the model developer to host trainings (and capacity is less than 10 people in total for each), this will be more cost effective.
Travel costs not included
$6,000 per group of eight trainees + one additional trainee for $100 and two additional trainees for $200 extra.  Above 10 participants, a second trainer is required, doubling the cost. </t>
        </r>
      </text>
    </comment>
    <comment ref="C28" authorId="0" shapeId="0" xr:uid="{00000000-0006-0000-0700-000002000000}">
      <text>
        <r>
          <rPr>
            <sz val="9"/>
            <color indexed="81"/>
            <rFont val="Tahoma"/>
            <family val="2"/>
          </rPr>
          <t xml:space="preserve">Total cost for this  training line item is based on assumption that each provider agency will have their own training.  If some providers coordinate with the model developer to host trainings (and capacity is less than 5 people in total for each), this will be more cost effective.
$3000 per group of four trainees + one additional trainee for $100 extra. Above 5 participants, an additional training is required. </t>
        </r>
      </text>
    </comment>
    <comment ref="C29" authorId="1" shapeId="0" xr:uid="{569695DF-AF7C-4A17-AAED-1B6DC2F195DA}">
      <text>
        <r>
          <rPr>
            <sz val="9"/>
            <color indexed="81"/>
            <rFont val="Tahoma"/>
            <family val="2"/>
          </rPr>
          <t>Can be included as an extra day to the 2-day in person FCU training</t>
        </r>
      </text>
    </comment>
    <comment ref="C31" authorId="1" shapeId="0" xr:uid="{03436CA2-1529-466D-90A2-2C976BA650DC}">
      <text>
        <r>
          <rPr>
            <sz val="9"/>
            <color indexed="81"/>
            <rFont val="Tahoma"/>
            <family val="2"/>
          </rPr>
          <t>Implementation support needed to develop competency as a model trainer and consultant, including up to 10 hours of individualized consultation</t>
        </r>
      </text>
    </comment>
    <comment ref="C33" authorId="0" shapeId="0" xr:uid="{00000000-0006-0000-0700-000004000000}">
      <text>
        <r>
          <rPr>
            <sz val="9"/>
            <color indexed="81"/>
            <rFont val="Tahoma"/>
            <family val="2"/>
          </rPr>
          <t>Certification offers an opportunity for individualized feedback to promote implementation with fidelity. Certification requires that both sessions reviewed meet criteria for fidelity. The cost to have additional sessions reviewed is $400 per session.</t>
        </r>
      </text>
    </comment>
    <comment ref="C34" authorId="0" shapeId="0" xr:uid="{E770A9E9-0FBA-430D-AA18-44B1A7D448D8}">
      <text>
        <r>
          <rPr>
            <sz val="9"/>
            <color indexed="81"/>
            <rFont val="Tahoma"/>
            <family val="2"/>
          </rPr>
          <t>Certification offers an opportunity for individualized feedback to promote implementation with fidelity. Certification requires that both sessions reviewed meet criteria for fidelity. The cost to have additional sessions reviewed is $400 per session.</t>
        </r>
      </text>
    </comment>
    <comment ref="C35" authorId="1" shapeId="0" xr:uid="{EBAED92B-E33D-4D2A-B1AC-B27FE44650A1}">
      <text>
        <r>
          <rPr>
            <sz val="9"/>
            <color indexed="81"/>
            <rFont val="Tahoma"/>
            <family val="2"/>
          </rPr>
          <t xml:space="preserve">Involves review and up to 5 hours of individualized feedback on 2 videotaped Family Check-Up sessions.  
Only 1-2 people per agency is recommended for certification. </t>
        </r>
      </text>
    </comment>
    <comment ref="C36" authorId="1" shapeId="0" xr:uid="{F21C555D-FB9A-4FC9-B6E2-43B8FABFECF0}">
      <text>
        <r>
          <rPr>
            <sz val="9"/>
            <color indexed="81"/>
            <rFont val="Tahoma"/>
            <family val="2"/>
          </rPr>
          <t>Involves review and up to 4 hours of individualized feedback on 2 videotaped sessions</t>
        </r>
      </text>
    </comment>
    <comment ref="C59" authorId="0" shapeId="0" xr:uid="{D56E2D7F-BCD8-43AE-BDC5-3C1B5AE5A523}">
      <text>
        <r>
          <rPr>
            <sz val="9"/>
            <color indexed="81"/>
            <rFont val="Tahoma"/>
            <family val="2"/>
          </rPr>
          <t xml:space="preserve">Accumulated administrative costs that jointly benefit the overall organization programs and objectives. Indirect cost pool typically includes accounting/finance, payroll, HR, IT, operating and maintenance costs, etc.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Brennen, Jason </author>
  </authors>
  <commentList>
    <comment ref="B5" authorId="0" shapeId="0" xr:uid="{D9910D24-4682-4B57-94F4-D9F447A02F1F}">
      <text>
        <r>
          <rPr>
            <sz val="9"/>
            <color indexed="81"/>
            <rFont val="Tahoma"/>
            <family val="2"/>
          </rPr>
          <t xml:space="preserve">Total number </t>
        </r>
        <r>
          <rPr>
            <i/>
            <sz val="9"/>
            <color indexed="81"/>
            <rFont val="Tahoma"/>
            <family val="2"/>
          </rPr>
          <t xml:space="preserve">across all provider agencies </t>
        </r>
        <r>
          <rPr>
            <sz val="9"/>
            <color indexed="81"/>
            <rFont val="Tahoma"/>
            <family val="2"/>
          </rPr>
          <t>(does not assume all provider sites will have the same number of teams)</t>
        </r>
      </text>
    </comment>
    <comment ref="B6" authorId="0" shapeId="0" xr:uid="{BA64A6A2-FABB-4C03-BF2F-3B3114A41B10}">
      <text>
        <r>
          <rPr>
            <sz val="9"/>
            <color indexed="81"/>
            <rFont val="Tahoma"/>
            <family val="2"/>
          </rPr>
          <t>FS recommends caseload sizes of 20-25 families per full-time Health Educator
This may fluctuate depending on the commuting distance to home visits.</t>
        </r>
      </text>
    </comment>
    <comment ref="B7" authorId="0" shapeId="0" xr:uid="{0EFC97F3-A6B7-4735-A9B2-2A38B151BCEC}">
      <text>
        <r>
          <rPr>
            <sz val="9"/>
            <color indexed="81"/>
            <rFont val="Tahoma"/>
            <family val="2"/>
          </rPr>
          <t>Calculates # of families able to be served in a year based on: 
-total number of direct staff X the assumed caseload of a team (20)</t>
        </r>
      </text>
    </comment>
    <comment ref="D10" authorId="0" shapeId="0" xr:uid="{08B3AD19-D005-442D-BB41-D732CA13006A}">
      <text>
        <r>
          <rPr>
            <sz val="9"/>
            <color indexed="81"/>
            <rFont val="Tahoma"/>
            <family val="2"/>
          </rPr>
          <t>Recommended supervisor to direct service staff is 1 supervisor to 6-10 direct service staff, although this can be a lower ratio.   
Adjust from the placeholder of 6.</t>
        </r>
      </text>
    </comment>
    <comment ref="B20" authorId="0" shapeId="0" xr:uid="{FFA8D7F4-5891-4B22-B1FB-C6F99719F056}">
      <text>
        <r>
          <rPr>
            <sz val="9"/>
            <color indexed="81"/>
            <rFont val="Tahoma"/>
            <family val="2"/>
          </rPr>
          <t xml:space="preserve">Requires funder to estimate telecom by number of agencies
</t>
        </r>
      </text>
    </comment>
    <comment ref="B21" authorId="0" shapeId="0" xr:uid="{AF5ACCCE-8962-4CEF-9091-5F389A1F82ED}">
      <text>
        <r>
          <rPr>
            <sz val="9"/>
            <color indexed="81"/>
            <rFont val="Tahoma"/>
            <family val="2"/>
          </rPr>
          <t>Requires funder to estimate office supplies/utility costs by agency</t>
        </r>
      </text>
    </comment>
    <comment ref="B22" authorId="0" shapeId="0" xr:uid="{C9C5FCA6-CF86-4439-B552-2EF82F0670EB}">
      <text>
        <r>
          <rPr>
            <sz val="9"/>
            <color indexed="81"/>
            <rFont val="Tahoma"/>
            <family val="2"/>
          </rPr>
          <t>Requires funder to estimate occupancy cost by agency</t>
        </r>
      </text>
    </comment>
    <comment ref="C34" authorId="0" shapeId="0" xr:uid="{098CE9FA-4ECC-4E1E-B3E0-124E173CA14E}">
      <text>
        <r>
          <rPr>
            <sz val="9"/>
            <color indexed="81"/>
            <rFont val="Tahoma"/>
            <family val="2"/>
          </rPr>
          <t xml:space="preserve">Regional trainings are expected to be offered twice annually in either Sacramento, CA or Phoenix, AZ. The affiliate would be responsible for training fees and travel for their staff. A $400/person in-training fee will apply for this option. 
</t>
        </r>
      </text>
    </comment>
    <comment ref="C67" authorId="0" shapeId="0" xr:uid="{D60BFA59-5569-41AC-B711-16B0F6BC3EC6}">
      <text>
        <r>
          <rPr>
            <sz val="9"/>
            <color indexed="81"/>
            <rFont val="Tahoma"/>
            <family val="2"/>
          </rPr>
          <t xml:space="preserve">
Accumulated administrative costs that jointly benefit the overall organization programs and objectives. Indirect cost pool typically includes accounting/finance, payroll, HR, IT, operating and maintenance costs, etc.</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Gore, Kristen</author>
    <author xml:space="preserve">Brennen, Jason </author>
  </authors>
  <commentList>
    <comment ref="C7" authorId="0" shapeId="0" xr:uid="{00000000-0006-0000-0A00-000001000000}">
      <text>
        <r>
          <rPr>
            <sz val="9"/>
            <color indexed="81"/>
            <rFont val="Tahoma"/>
            <family val="2"/>
          </rPr>
          <t xml:space="preserve">Caseload size varies. HFA uses a point system to assign weights to individual cases. Caseload requirements range of 10 to 25, depending on tier placement of the family. 10-12 families maximum when at the most intense level of service, 16-20 families maximum when at a variety of service levels.
Given that Family First will be serving involved or at-risk families, this assumes a caseload of 15.
</t>
        </r>
      </text>
    </comment>
    <comment ref="C8" authorId="1" shapeId="0" xr:uid="{3B4EEBD2-CA2F-4E18-936C-A5A63806CA54}">
      <text>
        <r>
          <rPr>
            <sz val="9"/>
            <color indexed="81"/>
            <rFont val="Tahoma"/>
            <family val="2"/>
          </rPr>
          <t xml:space="preserve">Assumes a caseload of 15 per support specialist and 100% utilization. </t>
        </r>
      </text>
    </comment>
    <comment ref="D12" authorId="1" shapeId="0" xr:uid="{A0DA6E7D-ED01-49C9-8C50-A9B69C7786F1}">
      <text>
        <r>
          <rPr>
            <sz val="9"/>
            <color indexed="81"/>
            <rFont val="Tahoma"/>
            <family val="2"/>
          </rPr>
          <t xml:space="preserve">Although there is a maximum staff to supervisor ratio of 6:1, there is no minimum ratio.  Sites are allowed to vary on how many family support staff are assigned to each team as long as a supervisor does not supervisor more than 6.
This placeholder ratio is set at 6:1. Adust to a lower ratio if appropriate 
</t>
        </r>
      </text>
    </comment>
    <comment ref="F12" authorId="1" shapeId="0" xr:uid="{901F8974-5B61-4C82-B507-F3FAFDD1986D}">
      <text>
        <r>
          <rPr>
            <sz val="9"/>
            <color indexed="81"/>
            <rFont val="Tahoma"/>
            <family val="2"/>
          </rPr>
          <t>Smaller sites combine the role of the supervisor and program manager</t>
        </r>
        <r>
          <rPr>
            <sz val="9"/>
            <color indexed="81"/>
            <rFont val="Tahoma"/>
            <family val="2"/>
          </rPr>
          <t xml:space="preserve">
</t>
        </r>
      </text>
    </comment>
    <comment ref="C14" authorId="0" shapeId="0" xr:uid="{AADF859F-2265-460D-AFA7-B900FAFF4E72}">
      <text>
        <r>
          <rPr>
            <sz val="9"/>
            <color indexed="81"/>
            <rFont val="Tahoma"/>
            <family val="2"/>
          </rPr>
          <t>Placeholder salary estimate provided by the developer. Please consider salary ranges for your provider staff in your area for similar programs.</t>
        </r>
      </text>
    </comment>
    <comment ref="D14" authorId="0" shapeId="0" xr:uid="{4AA22CF5-D802-40DA-87DB-2E84729E0FE7}">
      <text>
        <r>
          <rPr>
            <sz val="9"/>
            <color indexed="81"/>
            <rFont val="Tahoma"/>
            <family val="2"/>
          </rPr>
          <t>Placeholder salary estimate provided by the developer. Please consider salary ranges for your provider staff in your area for similar programs.</t>
        </r>
      </text>
    </comment>
    <comment ref="F14" authorId="0" shapeId="0" xr:uid="{EB55D7A8-E38F-4005-81D7-9A8298F3EDDB}">
      <text>
        <r>
          <rPr>
            <sz val="9"/>
            <color indexed="81"/>
            <rFont val="Tahoma"/>
            <family val="2"/>
          </rPr>
          <t>Placeholder salary estimate provided by the developer. Please consider salary ranges for your provider staff in your area for similar programs.</t>
        </r>
      </text>
    </comment>
    <comment ref="C20" authorId="1" shapeId="0" xr:uid="{5318E6BE-0B20-4A17-A081-AE097FD22913}">
      <text>
        <r>
          <rPr>
            <sz val="9"/>
            <color indexed="81"/>
            <rFont val="Tahoma"/>
            <family val="2"/>
          </rPr>
          <t>A team of 6 will either have 6 cross-trained FSS, or 5 FSS/1 FRS</t>
        </r>
      </text>
    </comment>
    <comment ref="B24" authorId="1" shapeId="0" xr:uid="{632E3911-AD72-4254-8BF7-06124E9F7A9B}">
      <text>
        <r>
          <rPr>
            <sz val="9"/>
            <color indexed="81"/>
            <rFont val="Tahoma"/>
            <family val="2"/>
          </rPr>
          <t xml:space="preserve">
Requires funder to estimate telecom by number of agencies</t>
        </r>
      </text>
    </comment>
    <comment ref="B25" authorId="1" shapeId="0" xr:uid="{AD21E791-77F1-4DFB-9EDD-087307A71C7E}">
      <text>
        <r>
          <rPr>
            <sz val="9"/>
            <color indexed="81"/>
            <rFont val="Tahoma"/>
            <family val="2"/>
          </rPr>
          <t xml:space="preserve">Requires funder to estimate office supplies/utility costs by agency
</t>
        </r>
      </text>
    </comment>
    <comment ref="B26" authorId="1" shapeId="0" xr:uid="{304FDBC4-57E4-4792-AE05-A2B4EC1780B4}">
      <text>
        <r>
          <rPr>
            <sz val="9"/>
            <color indexed="81"/>
            <rFont val="Tahoma"/>
            <family val="2"/>
          </rPr>
          <t xml:space="preserve">Requires funder to estimate occupancy cost by agency
</t>
        </r>
      </text>
    </comment>
    <comment ref="G48" authorId="1" shapeId="0" xr:uid="{677BD747-CA83-4187-8FD1-A29B2ED228AE}">
      <text>
        <r>
          <rPr>
            <sz val="9"/>
            <color indexed="81"/>
            <rFont val="Tahoma"/>
            <family val="2"/>
          </rPr>
          <t>Optional - $5,000 per year is the estimated expense of purchasing a third-party data system. Sites may have the ability to build data reporting into their existing client information data system at a lower cost. Very small sites may be able to access free data tools to meet their needs as well.
Add this formula to the spreadsheet for each year if opting in:   =5,000</t>
        </r>
      </text>
    </comment>
    <comment ref="G52" authorId="1" shapeId="0" xr:uid="{F78922AE-01F1-49C7-897F-3B09F4EB4FB6}">
      <text>
        <r>
          <rPr>
            <sz val="9"/>
            <color indexed="81"/>
            <rFont val="Tahoma"/>
            <family val="2"/>
          </rPr>
          <t xml:space="preserve">$5000 per affiliate/agency until accreditation. Sites pay an adjusted annual fee post-accreditation (typically occurring in year 3). Adjusted annual fees are based on site size.
</t>
        </r>
      </text>
    </comment>
    <comment ref="G57" authorId="1" shapeId="0" xr:uid="{D830BEB8-1D70-4BC7-BB37-B28A6CD2EA1E}">
      <text>
        <r>
          <rPr>
            <sz val="10"/>
            <color theme="1"/>
            <rFont val="Segoe UI"/>
            <family val="2"/>
            <scheme val="minor"/>
          </rPr>
          <t xml:space="preserve">HFA requires that a parenting curriculum be included.  This line item includes the cost for one recommended parenting curriculum by HFA at $350 per year per direct staff member (D13).   
If exploring alterntive parenting curriculm options, please revise line accordingly. </t>
        </r>
      </text>
    </comment>
    <comment ref="G58" authorId="1" shapeId="0" xr:uid="{2B9F3D6F-91A1-441F-9B20-FE4B47B6E9ED}">
      <text>
        <r>
          <rPr>
            <sz val="9"/>
            <color indexed="81"/>
            <rFont val="Tahoma"/>
            <family val="2"/>
          </rPr>
          <t>Optional - Family Support Group Meetings are not required by the HFA model, though this can be a supportive resource to families. $20, per family (C8), per quarter (4), is an estimated expense.
Add this formula to the spreadsheet for each year if opting in:   =(20*C8)*4</t>
        </r>
      </text>
    </comment>
    <comment ref="C82" authorId="1" shapeId="0" xr:uid="{181C299C-AD49-426D-A5C0-E0125C3E1D32}">
      <text>
        <r>
          <rPr>
            <sz val="9"/>
            <color indexed="81"/>
            <rFont val="Tahoma"/>
            <family val="2"/>
          </rPr>
          <t xml:space="preserve">Accumulated administrative costs that jointly benefit the overall organization programs and objectives. Indirect cost pool typically includes accounting/finance, payroll, HR, IT, operating and maintenance costs, etc.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xml:space="preserve">Brennen, Jason </author>
    <author>Gore, Kristen</author>
  </authors>
  <commentList>
    <comment ref="B6" authorId="0" shapeId="0" xr:uid="{BDF4CFAB-B8BF-4FA8-83C9-5BC3538E15FB}">
      <text>
        <r>
          <rPr>
            <sz val="9"/>
            <color indexed="81"/>
            <rFont val="Tahoma"/>
            <family val="2"/>
          </rPr>
          <t>Does not assume all provider sites will have the same number of teams.
A team of 3-5 therapists, 1 supervisor (carries a partial caseload), and 1 secretary/support staff
Each therapists carries caseloads of 2 families at a time on average, but can be as high as five. 
The first year therapists carry a maximum of 16 families for the year (2 at a time in combination with trainings etc.) Supervisors without HOMEBUILDERS experience must carry 6 families for first 1.5 years</t>
        </r>
      </text>
    </comment>
    <comment ref="B8" authorId="1" shapeId="0" xr:uid="{FA2BFB10-61F1-4FB0-A359-EF7133A5D4EA}">
      <text>
        <r>
          <rPr>
            <sz val="9"/>
            <color indexed="81"/>
            <rFont val="Tahoma"/>
            <family val="2"/>
          </rPr>
          <t>This is for the first year of implementation only. Staff will be able to carry more cases after the first year and thus the cost per family will decrease.</t>
        </r>
      </text>
    </comment>
    <comment ref="C8" authorId="1" shapeId="0" xr:uid="{EBF9021F-B145-4439-93B5-957DBB0CA886}">
      <text>
        <r>
          <rPr>
            <sz val="9"/>
            <color indexed="81"/>
            <rFont val="Tahoma"/>
            <family val="2"/>
          </rPr>
          <t xml:space="preserve">
Carry caseloads of two families at a time on average, but can be as high as five. 
The first year therapists carry a maximum of 16 families for the year (2 at a time in combination with trainings etc.). Supervisors without HOMEBUILDERS experience must carry 6 families for first 1.5 years.
For the first year of implementation, one team with four therapists and one supervisor will serve a total of 70 cases.</t>
        </r>
      </text>
    </comment>
    <comment ref="B10" authorId="1" shapeId="0" xr:uid="{59BC21BF-4B05-4DB5-A673-767411A13A9B}">
      <text>
        <r>
          <rPr>
            <sz val="9"/>
            <color indexed="81"/>
            <rFont val="Tahoma"/>
            <family val="2"/>
          </rPr>
          <t>This is for the first year of implementation only. Staff will be able to carry more cases after the first year and thus the cost per family will decrease.</t>
        </r>
      </text>
    </comment>
    <comment ref="C10" authorId="1" shapeId="0" xr:uid="{42AB8762-4595-4D1E-A66D-2C29E4577C85}">
      <text>
        <r>
          <rPr>
            <sz val="9"/>
            <color indexed="81"/>
            <rFont val="Tahoma"/>
            <family val="2"/>
          </rPr>
          <t xml:space="preserve">
Carry caseloads of two families at a time on average, but can be as high as five. 
The first year therapists carry a maximum of 16 families for the year (2 at a time in combination with trainings etc.). Supervisors without HOMEBUILDERS experience must carry 6 families for first 1.5 years.
For the first year of implementation, one team with four therapists and one supervisor will serve a total of 70 cases.</t>
        </r>
      </text>
    </comment>
    <comment ref="E13" authorId="1" shapeId="0" xr:uid="{DF9D878A-1B49-41B0-9A76-B9ACB6CDAA3F}">
      <text>
        <r>
          <rPr>
            <sz val="9"/>
            <color indexed="81"/>
            <rFont val="Tahoma"/>
            <family val="2"/>
          </rPr>
          <t>Back up to a supervisor.
The program manager goes through all of the training, if a supervisor goes on vacation the program manager will function as the supervisor.</t>
        </r>
      </text>
    </comment>
    <comment ref="B21" authorId="1" shapeId="0" xr:uid="{8D531090-020B-49F2-AF81-BA90274DD12F}">
      <text>
        <r>
          <rPr>
            <sz val="9"/>
            <color indexed="81"/>
            <rFont val="Tahoma"/>
            <family val="2"/>
          </rPr>
          <t>It is typical to travel 20-30miles one way to a clients, and they are likely to have 16 sessions per intervention. One person who has 2 cases would have about 50 miles RT x 2 families a month which would be 50 x 32 sessions = 1600 miles a month.  However they aren’t always “full” with 2 cases each month. Therefore, it is recommended that one staff person is estimated to have 800 miles per family x the number of families each year.</t>
        </r>
      </text>
    </comment>
    <comment ref="B22" authorId="0" shapeId="0" xr:uid="{B8B21D3C-5B19-4D2C-8A15-559BD5BF04F1}">
      <text>
        <r>
          <rPr>
            <sz val="9"/>
            <color indexed="81"/>
            <rFont val="Tahoma"/>
            <family val="2"/>
          </rPr>
          <t xml:space="preserve">
Requires funder to estimate telecom by number of agencies</t>
        </r>
      </text>
    </comment>
    <comment ref="B23" authorId="0" shapeId="0" xr:uid="{565EA139-D0F5-4111-8CE9-0E24A5CB941D}">
      <text>
        <r>
          <rPr>
            <sz val="9"/>
            <color indexed="81"/>
            <rFont val="Tahoma"/>
            <family val="2"/>
          </rPr>
          <t xml:space="preserve">Requires funder to estimate office supplies/utility costs by agency
</t>
        </r>
      </text>
    </comment>
    <comment ref="B24" authorId="0" shapeId="0" xr:uid="{FB9D0B6C-FB3F-4CE2-A992-B1EC3EBA71A6}">
      <text>
        <r>
          <rPr>
            <sz val="9"/>
            <color indexed="81"/>
            <rFont val="Tahoma"/>
            <family val="2"/>
          </rPr>
          <t xml:space="preserve">Requires funder to estimate occupancy cost by agency
</t>
        </r>
      </text>
    </comment>
    <comment ref="E46" authorId="1" shapeId="0" xr:uid="{63867216-016B-45E2-854D-B2F6D47975F9}">
      <text>
        <r>
          <rPr>
            <sz val="9"/>
            <color indexed="81"/>
            <rFont val="Tahoma"/>
            <family val="2"/>
          </rPr>
          <t xml:space="preserve">Includes:
Ongoing Consultation for State and Providers, Hiring, Paperwork Review, Consult with Supervisor and Team = $2357.50 per person
Client Documentation/Data System TA and Fidelity Reports = $249.17 per person
</t>
        </r>
      </text>
    </comment>
    <comment ref="E47" authorId="1" shapeId="0" xr:uid="{6DBFADD4-191F-4D34-A928-F6EDD8E43487}">
      <text>
        <r>
          <rPr>
            <sz val="9"/>
            <color indexed="81"/>
            <rFont val="Tahoma"/>
            <family val="2"/>
          </rPr>
          <t>$945 per person, this may adjust in consultation with the purveyor.</t>
        </r>
      </text>
    </comment>
    <comment ref="E48" authorId="1" shapeId="0" xr:uid="{95F190D1-3D78-4D83-BD83-C379D635F4EB}">
      <text>
        <r>
          <rPr>
            <sz val="9"/>
            <color indexed="81"/>
            <rFont val="Tahoma"/>
            <family val="2"/>
          </rPr>
          <t>This includes the cost of travel for the developer to visit sites for quality assurance. Calculation is based on an estimate that allows this budget worksheet to scale up by person. The estimate used for travel is $315.83/person.</t>
        </r>
      </text>
    </comment>
    <comment ref="D51" authorId="1" shapeId="0" xr:uid="{64B821D4-DB55-4D68-8210-C95DC87A66BC}">
      <text>
        <r>
          <rPr>
            <sz val="9"/>
            <color indexed="81"/>
            <rFont val="Tahoma"/>
            <family val="2"/>
          </rPr>
          <t>ECM data system license calculation includes therapists, supervisors, and program manager.
Conga data system license calculation includes supervisor.
The current calculation does not include support staff.
$260 for ECM system and $275 for Conga</t>
        </r>
      </text>
    </comment>
    <comment ref="E51" authorId="1" shapeId="0" xr:uid="{E1433369-9F77-41FA-9074-493520A46F93}">
      <text>
        <r>
          <rPr>
            <sz val="9"/>
            <color indexed="81"/>
            <rFont val="Tahoma"/>
            <family val="2"/>
          </rPr>
          <t>ECM data system license calculation includes therapists, supervisors, and program manager.
Conga data system license calculation includes supervisor.
The current calculation does not include support staff.
$260 for ECM system and $275 for Conga</t>
        </r>
      </text>
    </comment>
    <comment ref="F51" authorId="1" shapeId="0" xr:uid="{A645C3F2-99DA-45D9-AAF7-D0851B691A45}">
      <text>
        <r>
          <rPr>
            <sz val="9"/>
            <color indexed="81"/>
            <rFont val="Tahoma"/>
            <family val="2"/>
          </rPr>
          <t>ECM data system license calculation includes therapists, supervisors, and program manager.
Conga data system license calculation includes supervisor.
The current calculation does not include support staff.
$260 for ECM system and $275 for Conga</t>
        </r>
      </text>
    </comment>
    <comment ref="C75" authorId="0" shapeId="0" xr:uid="{816DCB4B-3183-41B3-9744-04A95EFB921B}">
      <text>
        <r>
          <rPr>
            <sz val="9"/>
            <color indexed="81"/>
            <rFont val="Tahoma"/>
            <family val="2"/>
          </rPr>
          <t xml:space="preserve">Accumulated administrative costs that jointly benefit the overall organization programs and objectives. Indirect cost pool typically includes accounting/finance, payroll, HR, IT, operating and maintenance costs, etc.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xml:space="preserve">Brennen, Jason </author>
    <author>Gore, Kristen</author>
    <author>tc={83AA7383-D880-47D8-8322-9690F2298E6E}</author>
  </authors>
  <commentList>
    <comment ref="C6" authorId="0" shapeId="0" xr:uid="{1B4364F4-3B3E-4696-89E0-23987F28D671}">
      <text>
        <r>
          <rPr>
            <sz val="9"/>
            <color indexed="81"/>
            <rFont val="Tahoma"/>
            <family val="2"/>
          </rPr>
          <t>Does not assume all provider sites will have the same number of teams.</t>
        </r>
      </text>
    </comment>
    <comment ref="C7" authorId="0" shapeId="0" xr:uid="{04F68917-6587-4340-801A-34F3CE0CBC31}">
      <text>
        <r>
          <rPr>
            <sz val="9"/>
            <color indexed="81"/>
            <rFont val="Tahoma"/>
            <family val="2"/>
          </rPr>
          <t xml:space="preserve">The average caseload at any given time is between 10-12 cases, so the assumption here was based on 11; 
The typical duration of service is between 12-14 weeks.
As a result, there is a general estimatead of having 4 rounds of new cases per year (4 X 11)
</t>
        </r>
      </text>
    </comment>
    <comment ref="C8" authorId="0" shapeId="0" xr:uid="{B34DDE57-2C30-4790-B0EC-BA3258C5B222}">
      <text>
        <r>
          <rPr>
            <sz val="9"/>
            <color indexed="81"/>
            <rFont val="Tahoma"/>
            <family val="2"/>
          </rPr>
          <t>Average # of sessions is between 12-14, so the 13 is used here.  
Can be as few as 8 and high as 30</t>
        </r>
      </text>
    </comment>
    <comment ref="C9" authorId="0" shapeId="0" xr:uid="{44D91DBE-17A3-463F-A8BE-3A266E6AF0E5}">
      <text>
        <r>
          <rPr>
            <sz val="9"/>
            <color indexed="81"/>
            <rFont val="Tahoma"/>
            <family val="2"/>
          </rPr>
          <t>This multipllies the annual number of cases served by therapst by anticipated number of therapists. 5 cases is then added to this product because Supervisors can take on up to 5 cases.</t>
        </r>
      </text>
    </comment>
    <comment ref="D14" authorId="0" shapeId="0" xr:uid="{3693848A-C8D1-4581-955C-3E7B04229580}">
      <text>
        <r>
          <rPr>
            <sz val="9"/>
            <color indexed="81"/>
            <rFont val="Tahoma"/>
            <family val="2"/>
          </rPr>
          <t xml:space="preserve">
FFT teams are between 3-8 including the site supervisor.  The asumption here is based on 5 therapists+ supervisors.  Decreasing the expected number of therapists per team will substanially decrease the cost.</t>
        </r>
      </text>
    </comment>
    <comment ref="B22" authorId="0" shapeId="0" xr:uid="{EA851BC0-9640-4F92-B605-4524E4574647}">
      <text>
        <r>
          <rPr>
            <sz val="9"/>
            <color indexed="81"/>
            <rFont val="Tahoma"/>
            <family val="2"/>
          </rPr>
          <t xml:space="preserve">Requires funder to estimate telecom by number of agencies
</t>
        </r>
      </text>
    </comment>
    <comment ref="B23" authorId="0" shapeId="0" xr:uid="{4987B69F-ED7E-4829-AD8F-33A96AC2A201}">
      <text>
        <r>
          <rPr>
            <sz val="9"/>
            <color indexed="81"/>
            <rFont val="Tahoma"/>
            <family val="2"/>
          </rPr>
          <t>Requires funder to estimate office supplies/utility costs by agency</t>
        </r>
      </text>
    </comment>
    <comment ref="B24" authorId="0" shapeId="0" xr:uid="{FBAFDD1E-A800-4FF9-B546-3D722C429800}">
      <text>
        <r>
          <rPr>
            <sz val="9"/>
            <color indexed="81"/>
            <rFont val="Tahoma"/>
            <family val="2"/>
          </rPr>
          <t>Requires funder to estimate occupancy cost by agency</t>
        </r>
        <r>
          <rPr>
            <b/>
            <sz val="9"/>
            <color indexed="81"/>
            <rFont val="Tahoma"/>
            <family val="2"/>
          </rPr>
          <t xml:space="preserve">
</t>
        </r>
        <r>
          <rPr>
            <sz val="9"/>
            <color indexed="81"/>
            <rFont val="Tahoma"/>
            <family val="2"/>
          </rPr>
          <t xml:space="preserve">
</t>
        </r>
      </text>
    </comment>
    <comment ref="D28" authorId="0" shapeId="0" xr:uid="{C461029F-8DB5-413C-9D98-0D33C51F6762}">
      <text>
        <r>
          <rPr>
            <sz val="9"/>
            <color indexed="81"/>
            <rFont val="Tahoma"/>
            <family val="2"/>
          </rPr>
          <t xml:space="preserve">Initial goal of phase 1 is to impact service delivery context so that the local FFT program builds a lasting infrastructure that supports clinicians to take advantage of FFT training/consultation. By the end of Phase 1, the goal is for local clinicians to demonstrate strong adherence and high competence in the FFT model. By the 8th month of implementation, FFT will begin discussions to identify steps towards starting Phase 2 of the Site Certification process including likely candidates at the site to be trained as FFT on-site supervisor. If sites are unable to achieve minimum caseloads of 5-7 families per therapist by first month and a half of training, then phase one may be delayed. 
</t>
        </r>
      </text>
    </comment>
    <comment ref="E28" authorId="0" shapeId="0" xr:uid="{4E1F0C53-57AA-47BE-8851-8BA9356ABDD8}">
      <text>
        <r>
          <rPr>
            <sz val="9"/>
            <color indexed="81"/>
            <rFont val="Tahoma"/>
            <family val="2"/>
          </rPr>
          <t xml:space="preserve">The goal of phase 2 is to assist the site in creating greater self-sufficiency in FFT, while also maintaining and enhancing site adherence/competence to the FFT model. Primary in this phase is developing competent on-site FFT supervision. During phase 2, FFT trains a site's extern to become the site supervisor. </t>
        </r>
      </text>
    </comment>
    <comment ref="F28" authorId="0" shapeId="0" xr:uid="{ED1687DF-BDDE-4D14-8B7F-A27D343FBD55}">
      <text>
        <r>
          <rPr>
            <sz val="9"/>
            <color indexed="81"/>
            <rFont val="Tahoma"/>
            <family val="2"/>
          </rPr>
          <t xml:space="preserve">The goal of phase 3 is to move into a partnering relationship to assure on-going model fidelity, as well as impacting issues of staff development, interagency linking, and program expansion. </t>
        </r>
      </text>
    </comment>
    <comment ref="C30" authorId="1" shapeId="0" xr:uid="{0DF3E436-27FF-4336-80CE-E76599C36278}">
      <text>
        <r>
          <rPr>
            <b/>
            <sz val="9"/>
            <color indexed="81"/>
            <rFont val="Tahoma"/>
            <family val="2"/>
          </rPr>
          <t>Gore, Kristen:</t>
        </r>
        <r>
          <rPr>
            <sz val="9"/>
            <color indexed="81"/>
            <rFont val="Tahoma"/>
            <family val="2"/>
          </rPr>
          <t xml:space="preserve">
This is a one-time cost that includes training activities and services</t>
        </r>
      </text>
    </comment>
    <comment ref="C32" authorId="1" shapeId="0" xr:uid="{00AB390F-4DE6-41D6-90AB-BEBB16EA69D3}">
      <text>
        <r>
          <rPr>
            <b/>
            <sz val="9"/>
            <color indexed="81"/>
            <rFont val="Tahoma"/>
            <family val="2"/>
          </rPr>
          <t>Gore, Kristen:</t>
        </r>
        <r>
          <rPr>
            <sz val="9"/>
            <color indexed="81"/>
            <rFont val="Tahoma"/>
            <family val="2"/>
          </rPr>
          <t xml:space="preserve">
Costs for trainers. During COVID, FFT has been conducting trainings virtually</t>
        </r>
      </text>
    </comment>
    <comment ref="C51" authorId="2" shapeId="0" xr:uid="{83AA7383-D880-47D8-8322-9690F2298E6E}">
      <text>
        <t>[Threaded comment]
Your version of Excel allows you to read this threaded comment; however, any edits to it will get removed if the file is opened in a newer version of Excel. Learn more: https://go.microsoft.com/fwlink/?linkid=870924
Comment:
    If the site chooses to send more than one person through the Externship Process, the cost for anyone above and beyond that first attendee is $3,500 (not including travel costs)</t>
      </text>
    </comment>
    <comment ref="C62" authorId="1" shapeId="0" xr:uid="{1291072D-F848-400D-A6B9-F6ABA51D3C2B}">
      <text>
        <r>
          <rPr>
            <b/>
            <sz val="9"/>
            <color indexed="81"/>
            <rFont val="Tahoma"/>
            <family val="2"/>
          </rPr>
          <t>Gore, Kristen:</t>
        </r>
        <r>
          <rPr>
            <sz val="9"/>
            <color indexed="81"/>
            <rFont val="Tahoma"/>
            <family val="2"/>
          </rPr>
          <t xml:space="preserve">
This is a one-time cost includes training activities and services</t>
        </r>
      </text>
    </comment>
    <comment ref="C64" authorId="1" shapeId="0" xr:uid="{8359645D-38AC-40A4-9AF5-EB63E350DA92}">
      <text>
        <r>
          <rPr>
            <b/>
            <sz val="9"/>
            <color indexed="81"/>
            <rFont val="Tahoma"/>
            <family val="2"/>
          </rPr>
          <t>Gore, Kristen:</t>
        </r>
        <r>
          <rPr>
            <sz val="9"/>
            <color indexed="81"/>
            <rFont val="Tahoma"/>
            <family val="2"/>
          </rPr>
          <t xml:space="preserve">
Costs for trainers. During COVID, FFT has been conducting trainings virtually</t>
        </r>
      </text>
    </comment>
    <comment ref="C78" authorId="1" shapeId="0" xr:uid="{29672C1F-6035-4CB8-ACED-DE575B5D2D3A}">
      <text>
        <r>
          <rPr>
            <b/>
            <sz val="9"/>
            <color indexed="81"/>
            <rFont val="Tahoma"/>
            <family val="2"/>
          </rPr>
          <t>Gore, Kristen:</t>
        </r>
        <r>
          <rPr>
            <sz val="9"/>
            <color indexed="81"/>
            <rFont val="Tahoma"/>
            <family val="2"/>
          </rPr>
          <t xml:space="preserve">
Costs for trainers. During COVID, FFT has been conducting trainings virtually</t>
        </r>
      </text>
    </comment>
    <comment ref="C86" authorId="0" shapeId="0" xr:uid="{ACE62E72-DA07-4BFA-8794-D6DBDFA65BCD}">
      <text>
        <r>
          <rPr>
            <sz val="9"/>
            <color indexed="81"/>
            <rFont val="Tahoma"/>
            <family val="2"/>
          </rPr>
          <t xml:space="preserve">Sites must purchase and have these assessments on-site prior to the beginning of site certification training 
</t>
        </r>
      </text>
    </comment>
    <comment ref="C111" authorId="0" shapeId="0" xr:uid="{21B480CA-FDC6-4635-9B54-47DEE77606E7}">
      <text>
        <r>
          <rPr>
            <sz val="9"/>
            <color indexed="81"/>
            <rFont val="Tahoma"/>
            <family val="2"/>
          </rPr>
          <t>Accumulated administrative costs that jointly benefit the overall organization programs and objectives. Indirect cost pool typically includes accounting/finance, payroll, HR, IT, operating and maintenance costs, etc.</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xml:space="preserve">Brennen, Jason </author>
    <author>Gore, Kristen</author>
    <author>Andrea OBrien</author>
  </authors>
  <commentList>
    <comment ref="C7" authorId="0" shapeId="0" xr:uid="{63F4B023-6BC6-4420-90DB-60D054F06C7C}">
      <text>
        <r>
          <rPr>
            <sz val="9"/>
            <color rgb="FF000000"/>
            <rFont val="Tahoma"/>
            <family val="2"/>
          </rPr>
          <t xml:space="preserve">The average desired case load is 12, which turns 4 times per year (12 x 4).  In the first year it maybe a 3x turn over.  
In year 2 the site supervsior case load reduces to an average of 6.
</t>
        </r>
      </text>
    </comment>
    <comment ref="C8" authorId="0" shapeId="0" xr:uid="{5246E224-B8FA-42A1-8DA4-2EB00A4487C4}">
      <text>
        <r>
          <rPr>
            <sz val="9"/>
            <color rgb="FF000000"/>
            <rFont val="Tahoma"/>
            <family val="2"/>
          </rPr>
          <t xml:space="preserve">Average # of sessions is between 12-14, so the 13 is used here.  
</t>
        </r>
        <r>
          <rPr>
            <sz val="9"/>
            <color rgb="FF000000"/>
            <rFont val="Tahoma"/>
            <family val="2"/>
          </rPr>
          <t xml:space="preserve">
</t>
        </r>
        <r>
          <rPr>
            <sz val="9"/>
            <color rgb="FF000000"/>
            <rFont val="Tahoma"/>
            <family val="2"/>
          </rPr>
          <t>Can be as few as 8 and high as 30</t>
        </r>
      </text>
    </comment>
    <comment ref="C9" authorId="0" shapeId="0" xr:uid="{7291AEF1-C891-4D82-87F4-D6AD90F593C7}">
      <text>
        <r>
          <rPr>
            <sz val="9"/>
            <color rgb="FF000000"/>
            <rFont val="Tahoma"/>
            <family val="2"/>
          </rPr>
          <t>Max number of cases served by full team.  In year 2 supervisor takes only 6 cases</t>
        </r>
      </text>
    </comment>
    <comment ref="C10" authorId="0" shapeId="0" xr:uid="{2AC68F73-3111-4C50-BE97-BBA710DD5B16}">
      <text>
        <r>
          <rPr>
            <sz val="9"/>
            <color rgb="FF000000"/>
            <rFont val="Tahoma"/>
            <family val="2"/>
          </rPr>
          <t>Max number of cases served by full team.  In year 2 supervisor takes only 6 cases</t>
        </r>
      </text>
    </comment>
    <comment ref="D15" authorId="0" shapeId="0" xr:uid="{79B8AAAD-697A-47D5-997F-3986546E575A}">
      <text>
        <r>
          <rPr>
            <sz val="9"/>
            <color rgb="FF000000"/>
            <rFont val="Tahoma"/>
            <family val="2"/>
          </rPr>
          <t xml:space="preserve">
</t>
        </r>
        <r>
          <rPr>
            <sz val="9"/>
            <color rgb="FF000000"/>
            <rFont val="Tahoma"/>
            <family val="2"/>
          </rPr>
          <t>FFT Partner Teams are between 4-8 including the site supervisor.  The asumption here is based on 5 therapists+ 1 supervisor.  In year 1 the supervisor carries a full case load.  In year 2+ a 1/2 case load</t>
        </r>
      </text>
    </comment>
    <comment ref="B23" authorId="0" shapeId="0" xr:uid="{4BE6B783-9411-46C0-BD0C-F049A4DDF73B}">
      <text>
        <r>
          <rPr>
            <sz val="9"/>
            <color rgb="FF000000"/>
            <rFont val="Tahoma"/>
            <family val="2"/>
          </rPr>
          <t xml:space="preserve">Requires funder to estimate telecom by number of agencies
</t>
        </r>
      </text>
    </comment>
    <comment ref="B24" authorId="0" shapeId="0" xr:uid="{46BFDD9D-3827-4E44-8B33-514B3CBEAF32}">
      <text>
        <r>
          <rPr>
            <sz val="9"/>
            <color rgb="FF000000"/>
            <rFont val="Tahoma"/>
            <family val="2"/>
          </rPr>
          <t>Requires funder to estimate office supplies/utility costs by agency</t>
        </r>
      </text>
    </comment>
    <comment ref="B25" authorId="0" shapeId="0" xr:uid="{DD3C6509-6B2F-42FA-9AF7-47DAFB1500F0}">
      <text>
        <r>
          <rPr>
            <sz val="9"/>
            <color rgb="FF000000"/>
            <rFont val="Tahoma"/>
            <family val="2"/>
          </rPr>
          <t>Requires funder to estimate occupancy cost by agency</t>
        </r>
        <r>
          <rPr>
            <b/>
            <sz val="9"/>
            <color rgb="FF000000"/>
            <rFont val="Tahoma"/>
            <family val="2"/>
          </rPr>
          <t xml:space="preserve">
</t>
        </r>
        <r>
          <rPr>
            <sz val="9"/>
            <color rgb="FF000000"/>
            <rFont val="Tahoma"/>
            <family val="2"/>
          </rPr>
          <t xml:space="preserve">
</t>
        </r>
      </text>
    </comment>
    <comment ref="D29" authorId="0" shapeId="0" xr:uid="{ED00F035-3B7B-4AB0-9790-7C70E016FC6E}">
      <text>
        <r>
          <rPr>
            <b/>
            <sz val="10"/>
            <color rgb="FF000000"/>
            <rFont val="Segoe UI"/>
            <family val="2"/>
            <scheme val="minor"/>
          </rPr>
          <t xml:space="preserve">Phase 1: Clinical Training Protocol. </t>
        </r>
        <r>
          <rPr>
            <sz val="10"/>
            <color rgb="FF000000"/>
            <rFont val="Segoe UI"/>
            <family val="2"/>
            <scheme val="minor"/>
          </rPr>
          <t xml:space="preserve">Phase 1 training focuses on clinicians learning FFT. The expected duration of Phase 1 is 1 year; however, teams are evaluated prior to the end of the first year to determine if the team meets the criteria to move on to Phase 2. The following training and services are included: 
</t>
        </r>
        <r>
          <rPr>
            <sz val="9"/>
            <color rgb="FF000000"/>
            <rFont val="Tahoma"/>
            <family val="2"/>
          </rPr>
          <t xml:space="preserve">1. Implementation &amp; Site Readiness Orientations
2. FFT Adaptware Training
3. Clinical Classroom Trainings
4. Case Consultation &amp; Coaching
5. Advanced Clinical Training &amp; Supervised Practice (for the entire team)
6. FFT Care4 &amp; Clinical Feedback
7. Continuous Quality Improvement Support
8. Free Replacement Training </t>
        </r>
      </text>
    </comment>
    <comment ref="E29" authorId="0" shapeId="0" xr:uid="{3FF3C6DB-3797-484F-840A-9CB0DC096094}">
      <text>
        <r>
          <rPr>
            <b/>
            <sz val="10"/>
            <color rgb="FF000000"/>
            <rFont val="Segoe UI"/>
            <family val="2"/>
            <scheme val="minor"/>
          </rPr>
          <t>Phase 2: Supervision Training and Fidelity Maintenance</t>
        </r>
        <r>
          <rPr>
            <sz val="10"/>
            <color rgb="FF000000"/>
            <rFont val="Segoe UI"/>
            <family val="2"/>
            <scheme val="minor"/>
          </rPr>
          <t xml:space="preserve">. Phase 2 training involves two primary activities. First, a site supervisor is trained using the FFT Clinical Supervision Process. The site supervisor takes on the weekly consultation responsibilities held by the FFT consultant in Phase 1. Training for site supervisors occurs both individually and within a group of supervisors from different sites that are also beginning this new role. Second, we provide ongoing quality improvement help through the use of the FFT Care4 system and the clinical monitoring tools. 
</t>
        </r>
        <r>
          <rPr>
            <sz val="10"/>
            <color rgb="FF000000"/>
            <rFont val="Tahoma"/>
            <family val="2"/>
          </rPr>
          <t xml:space="preserve">Included in Phase 2 are:
</t>
        </r>
        <r>
          <rPr>
            <sz val="10"/>
            <color rgb="FF000000"/>
            <rFont val="Tahoma"/>
            <family val="2"/>
          </rPr>
          <t xml:space="preserve">1. Clinical Booster/Classroom Trainings
</t>
        </r>
        <r>
          <rPr>
            <sz val="10"/>
            <color rgb="FF000000"/>
            <rFont val="Tahoma"/>
            <family val="2"/>
          </rPr>
          <t xml:space="preserve">2. Site Clinical Supervisor Training
</t>
        </r>
        <r>
          <rPr>
            <sz val="10"/>
            <color rgb="FF000000"/>
            <rFont val="Tahoma"/>
            <family val="2"/>
          </rPr>
          <t xml:space="preserve">3. Team and Individual Consultation
</t>
        </r>
        <r>
          <rPr>
            <sz val="10"/>
            <color rgb="FF000000"/>
            <rFont val="Tahoma"/>
            <family val="2"/>
          </rPr>
          <t xml:space="preserve">4. Group Supervisor Consultation
</t>
        </r>
        <r>
          <rPr>
            <sz val="10"/>
            <color rgb="FF000000"/>
            <rFont val="Tahoma"/>
            <family val="2"/>
          </rPr>
          <t xml:space="preserve">5. Advanced Online Clinical Training
</t>
        </r>
        <r>
          <rPr>
            <sz val="10"/>
            <color rgb="FF000000"/>
            <rFont val="Tahoma"/>
            <family val="2"/>
          </rPr>
          <t xml:space="preserve">6. Advanced Clinical Training &amp; Supervised Practice (entire team)
</t>
        </r>
        <r>
          <rPr>
            <sz val="10"/>
            <color rgb="FF000000"/>
            <rFont val="Tahoma"/>
            <family val="2"/>
          </rPr>
          <t xml:space="preserve">7. FFT Care4 &amp; Clinical Feedback
</t>
        </r>
        <r>
          <rPr>
            <sz val="10"/>
            <color rgb="FF000000"/>
            <rFont val="Tahoma"/>
            <family val="2"/>
          </rPr>
          <t xml:space="preserve">8. Continuous Quality Improvement Support
</t>
        </r>
        <r>
          <rPr>
            <sz val="10"/>
            <color rgb="FF000000"/>
            <rFont val="Tahoma"/>
            <family val="2"/>
          </rPr>
          <t>9. Replacement Training</t>
        </r>
      </text>
    </comment>
    <comment ref="F29" authorId="0" shapeId="0" xr:uid="{9FC8008B-5358-4E13-9439-12167F9B774C}">
      <text>
        <r>
          <rPr>
            <b/>
            <sz val="10"/>
            <color rgb="FF000000"/>
            <rFont val="Segoe UI"/>
            <family val="2"/>
            <scheme val="minor"/>
          </rPr>
          <t xml:space="preserve">Phase 3: Certification Phase. </t>
        </r>
        <r>
          <rPr>
            <sz val="10"/>
            <color rgb="FF000000"/>
            <rFont val="Segoe UI"/>
            <family val="2"/>
            <scheme val="minor"/>
          </rPr>
          <t xml:space="preserve">There are two primary training activities in Phase 3. First, the team and supervisor receive booster training and Supervised Practice to maintain model fidelity. We monitor model adherence throughout the phase. Second, we provide ongoing quality improvement help through the use of the FFT Care4 online system and the clinical monitoring tools. 
</t>
        </r>
        <r>
          <rPr>
            <sz val="9"/>
            <color rgb="FF000000"/>
            <rFont val="Tahoma"/>
            <family val="2"/>
          </rPr>
          <t xml:space="preserve">Included are:
1. Clinical Booster/Classroom Training/ Supervised Practice (entire team)
2. Site Supervisor Conference &amp; Training
3. Team Consultation
4. Ind Supervisor Consultation &amp; Coaching
4. Group Supervisor Consultation 
5. Advanced Online Training
6. FFT Care4 &amp; Clinical Feedback
7. Continuous Quality Improvement Support
8. Replacement Training </t>
        </r>
      </text>
    </comment>
    <comment ref="C31" authorId="1" shapeId="0" xr:uid="{C8578E7A-25D7-47A5-9D74-060EFCF0F7DB}">
      <text>
        <r>
          <rPr>
            <sz val="9"/>
            <color rgb="FF000000"/>
            <rFont val="Tahoma"/>
            <family val="2"/>
          </rPr>
          <t xml:space="preserve">The annual per Team fee that includes all Phase 1 training activities and services. 
</t>
        </r>
      </text>
    </comment>
    <comment ref="C32" authorId="2" shapeId="0" xr:uid="{D48D180E-0E43-49A7-A022-BD71AAC1A6F6}">
      <text>
        <r>
          <rPr>
            <sz val="9"/>
            <color indexed="81"/>
            <rFont val="Tahoma"/>
            <family val="2"/>
          </rPr>
          <t xml:space="preserve">This total includes the Annual per Team fee  that includes all Phase 1 training activities and services for the total number of Teams to be serviced.
</t>
        </r>
      </text>
    </comment>
    <comment ref="C33" authorId="1" shapeId="0" xr:uid="{D6BAAD6C-68F7-49A0-87D2-B4EACD2DC4ED}">
      <text>
        <r>
          <rPr>
            <sz val="9"/>
            <color rgb="FF000000"/>
            <rFont val="Tahoma"/>
            <family val="2"/>
          </rPr>
          <t xml:space="preserve">Travel Costs per Team for Trainers when Trainings are on site.  We estimate up to (3) of the Trainings could be on site for Phase 1, otherwise Trainings are Virtual and do not require Travel Costs. </t>
        </r>
      </text>
    </comment>
    <comment ref="C36" authorId="1" shapeId="0" xr:uid="{811B62BD-0674-472D-9C3B-BFC7147B9580}">
      <text>
        <r>
          <rPr>
            <sz val="9"/>
            <color rgb="FF000000"/>
            <rFont val="Tahoma"/>
            <family val="2"/>
          </rPr>
          <t>The annual per Team fee  that includes all Phase 2 training activities and services.</t>
        </r>
      </text>
    </comment>
    <comment ref="C37" authorId="2" shapeId="0" xr:uid="{D5745A5D-E9C9-48A1-A40F-99736E5C0D54}">
      <text>
        <r>
          <rPr>
            <sz val="9"/>
            <color indexed="81"/>
            <rFont val="Tahoma"/>
            <family val="2"/>
          </rPr>
          <t xml:space="preserve">This total includes the annual per Team fee  that includes all Phase 2 training activities and services for the total number of Teams to be serviced.
</t>
        </r>
      </text>
    </comment>
    <comment ref="C39" authorId="2" shapeId="0" xr:uid="{B4FCB2B4-A739-446F-863C-2F37ED36C405}">
      <text>
        <r>
          <rPr>
            <sz val="9"/>
            <color indexed="81"/>
            <rFont val="Tahoma"/>
            <family val="2"/>
          </rPr>
          <t xml:space="preserve">Travel Costs per Team for Trainers when Trainings are on site.  We estimate up to (2) of the Trainings could be on site for Phase 2, otherwise Trainings are Virtual and do not require Travel Costs. 
</t>
        </r>
      </text>
    </comment>
    <comment ref="C42" authorId="2" shapeId="0" xr:uid="{665581A9-A87E-4D61-87A4-5DCA614B8F26}">
      <text>
        <r>
          <rPr>
            <sz val="9"/>
            <color rgb="FF000000"/>
            <rFont val="Tahoma"/>
            <family val="2"/>
          </rPr>
          <t xml:space="preserve">The annual per Team fee  that includes all Phase 3 continued training activities, services and certification. 
</t>
        </r>
      </text>
    </comment>
    <comment ref="C43" authorId="2" shapeId="0" xr:uid="{BCE0DF74-069A-47E5-8AB5-AB59AA98C3DB}">
      <text>
        <r>
          <rPr>
            <sz val="9"/>
            <color indexed="81"/>
            <rFont val="Tahoma"/>
            <family val="2"/>
          </rPr>
          <t xml:space="preserve">This total includes the annual per Team fee  that includes all Phase 3 continued training activities, services and certification for the total number of Teams to be serviced.
</t>
        </r>
      </text>
    </comment>
    <comment ref="C45" authorId="2" shapeId="0" xr:uid="{47655F2C-73EE-497A-BF4B-A770C15CBAE8}">
      <text>
        <r>
          <rPr>
            <sz val="9"/>
            <color indexed="81"/>
            <rFont val="Tahoma"/>
            <family val="2"/>
          </rPr>
          <t xml:space="preserve">Travel Costs per Team for Trainers when Trainings are on site.  We estimate up to (1) of the Trainings Could be on site for Phase 3, otherwise Trainings are Virtual and do not require Travel Costs. 
</t>
        </r>
      </text>
    </comment>
    <comment ref="C67" authorId="0" shapeId="0" xr:uid="{B4A74A97-D826-486C-AC51-0DEE484F5A7E}">
      <text>
        <r>
          <rPr>
            <sz val="9"/>
            <color rgb="FF000000"/>
            <rFont val="Tahoma"/>
            <family val="2"/>
          </rPr>
          <t xml:space="preserve">Accumulated administrative costs that jointly benefit the overall organization programs and objectives. Indirect cost pool typically includes accounting/finance, payroll, HR, IT, operating and maintenance costs, etc.
</t>
        </r>
      </text>
    </comment>
  </commentList>
</comments>
</file>

<file path=xl/sharedStrings.xml><?xml version="1.0" encoding="utf-8"?>
<sst xmlns="http://schemas.openxmlformats.org/spreadsheetml/2006/main" count="2105" uniqueCount="1122">
  <si>
    <t xml:space="preserve">   Family First Evidence-Based Practice Exploration &amp; Cost Tool</t>
  </si>
  <si>
    <t xml:space="preserve">     Table of Contents </t>
  </si>
  <si>
    <t>Tool Guide</t>
  </si>
  <si>
    <t>Model Overviews</t>
  </si>
  <si>
    <t>Model Selection Tool</t>
  </si>
  <si>
    <t>Implementation Budgets</t>
  </si>
  <si>
    <t>Clearinghouse Rating System*</t>
  </si>
  <si>
    <t>Click the link to find the corresponding Excel sheet</t>
  </si>
  <si>
    <t>Parenting Skills</t>
  </si>
  <si>
    <t>Mental Health Prevention &amp; Treatment</t>
  </si>
  <si>
    <t>Substance Use Prevention &amp; Treatment</t>
  </si>
  <si>
    <t>Brief Strategic Family Therapy (BSFT)</t>
  </si>
  <si>
    <t>X</t>
  </si>
  <si>
    <t>Child First</t>
  </si>
  <si>
    <t>x</t>
  </si>
  <si>
    <t>Child-Parent Psychotherapy (CPP)</t>
  </si>
  <si>
    <t>Family Check-Up (FCU)</t>
  </si>
  <si>
    <t>Family Spirit</t>
  </si>
  <si>
    <t>Functional Family Therapy (FFT, Inc.)</t>
  </si>
  <si>
    <t>Functional Family Therapy (FFT Partners)</t>
  </si>
  <si>
    <t>Healthy Families America (HFA)</t>
  </si>
  <si>
    <t>Homebuilders</t>
  </si>
  <si>
    <t>Intercept</t>
  </si>
  <si>
    <t>Incredible Years (IY) - School Basic</t>
  </si>
  <si>
    <t>Incredible Years (IY) - Toddler Basic</t>
  </si>
  <si>
    <t>Motivational Interviewing (MI)**</t>
  </si>
  <si>
    <t xml:space="preserve">    X**</t>
  </si>
  <si>
    <t>Multisystemic Therapy (MST)</t>
  </si>
  <si>
    <t>Nurse Family Partnership</t>
  </si>
  <si>
    <t>Parents as Teachers (PAT)</t>
  </si>
  <si>
    <t>Parent Child Interaction Therapy (PCIT)</t>
  </si>
  <si>
    <t>SafeCare</t>
  </si>
  <si>
    <t>Trauma-Focused Cognitive Behavioral Therapy</t>
  </si>
  <si>
    <t>Triple P - Positive Parenting</t>
  </si>
  <si>
    <t>*Please note that the specific categories for which each intervention falls under the IV-E Clearinghouse may not align to how the model developer or other clearinghouses categorize their model.</t>
  </si>
  <si>
    <t>**Some jurisdictions have received approval to use Motivational Interviewing for other needs beyond substance abuse, including for mental health or more generally, for all Family First eligible families)</t>
  </si>
  <si>
    <t>This list of EBP implementation budgets is ever growing and will continue to be updated as new information is received.</t>
  </si>
  <si>
    <r>
      <rPr>
        <u/>
        <sz val="12"/>
        <color theme="1"/>
        <rFont val="Segoe UI"/>
        <family val="2"/>
        <scheme val="minor"/>
      </rPr>
      <t>Co-authors</t>
    </r>
    <r>
      <rPr>
        <sz val="12"/>
        <color theme="1"/>
        <rFont val="Segoe UI"/>
        <family val="2"/>
        <scheme val="minor"/>
      </rPr>
      <t xml:space="preserve">:  Kristen Gore, MSW; Jason Brennen, MPPA; </t>
    </r>
    <r>
      <rPr>
        <u/>
        <sz val="12"/>
        <color theme="1"/>
        <rFont val="Segoe UI"/>
        <family val="2"/>
        <scheme val="minor"/>
      </rPr>
      <t>Contributing authors</t>
    </r>
    <r>
      <rPr>
        <sz val="12"/>
        <color theme="1"/>
        <rFont val="Segoe UI"/>
        <family val="2"/>
        <scheme val="minor"/>
      </rPr>
      <t>: Amber Blatt, MSW; Charlotte Halbert, MPP; Olivia Wilks, MSW; Samantha Steinmetz, MSW;</t>
    </r>
  </si>
  <si>
    <r>
      <rPr>
        <u/>
        <sz val="12"/>
        <color theme="1"/>
        <rFont val="Segoe UI"/>
        <family val="2"/>
        <scheme val="minor"/>
      </rPr>
      <t>Contact</t>
    </r>
    <r>
      <rPr>
        <sz val="12"/>
        <color theme="1"/>
        <rFont val="Segoe UI"/>
        <family val="2"/>
        <scheme val="minor"/>
      </rPr>
      <t>: Kristen Gore, kgore@chapinhall.org</t>
    </r>
  </si>
  <si>
    <r>
      <t xml:space="preserve"> </t>
    </r>
    <r>
      <rPr>
        <b/>
        <sz val="36"/>
        <color rgb="FF002060"/>
        <rFont val="Century Gothic"/>
        <family val="2"/>
      </rPr>
      <t>Family First Evidence-Based Practice Exploration &amp; Cost Tool</t>
    </r>
  </si>
  <si>
    <t xml:space="preserve"> Tool Guide</t>
  </si>
  <si>
    <t>Purpose</t>
  </si>
  <si>
    <t xml:space="preserve">This resource is intended to assist jurisdictions with the selection of evidence-based programs or practices (EBPs) for their Family First prevention plan. The tool provides overviews of each EBP as well as a survey tool. The survey tool can be used to match fit and usability based on target population, program goals, evidence rating, program intensity and duration, program cost, staffing and training requirements, and other factors. This tool also includes worksheets for each EBP to help determine program cost based on the projected number of families/children to be served as well as the number of provider agencies, teams, and individual staff involved.
</t>
  </si>
  <si>
    <t>Instructions</t>
  </si>
  <si>
    <t>Model Overviews tab - can be utilized to explore or compare several EBPs intended to address parenting, mental health, and substance abuse needs. The presentation of this tab allows for an at-a-glance comparison of the included EBPs to enhance the understanding of program goals and implementation requirements. 
Cost tabs - navigate to the tabs that are named after the interventions you are interested in exploring. Within each budget tab is the cost information to implement the EBP. Such cost information may include line items such as trainings, start-up fees, fidelity monitoring, data collection, agency or team license, accreditation, etc. Within each budget tab is direction to enter the jurisdiction or agency's specific information in the yellow boxes. The yellow boxes indicate fillable fields which then populate the budget worksheet. yellow boxes include variable components such as salary and benefits, mileage reimbursement rate, the number of teams, caseload size by team, duration of services, etc. The cost per family calculation at the bottom of each budget is calculated by the total implementation and/or ongoing program costs by the total number of families served within that year or time frame listed. 
Model Selection tab - this tab provides a more in-depth method for assessing and selecting the most appropriate intervention(s). The questions are adapted from The Hexagon Tool by Metz &amp; Louison (2018), and assists stakeholders in rating interventions across several domains, including: Fit, Evidence, Supports, and Capacity.</t>
  </si>
  <si>
    <t>Development</t>
  </si>
  <si>
    <t>The information in this tool was gathered through collaborative meetings with each EBP's model developer. The information in the Model Overviews tab was pulled from various online resources and verified with the developer. Each budget worksheet was sent to the model developer to review before the publication of the corresponding tab. At the bottom of each budget worksheet is the name and contact information of the staff at the developer's office who assisted our team in the development of the budget worksheet. In addition, you will find links to the budget specific information provided by the model developers. These cost estimates are intended as a starting point for jurisdictions before engaging the model developers as a next step.</t>
  </si>
  <si>
    <t>Important Notes Relating to Model Cost Estimates</t>
  </si>
  <si>
    <t>The cost calculators for each model are intended to provide general budget estimates based on guidance from the developers. However, there is likely variability to these costs across sites.  Below are some important considerations and caveats before using the cost calculators.</t>
  </si>
  <si>
    <r>
      <rPr>
        <i/>
        <u/>
        <sz val="11"/>
        <rFont val="Segoe UI"/>
        <family val="2"/>
      </rPr>
      <t>Different levels of estimation:</t>
    </r>
    <r>
      <rPr>
        <sz val="11"/>
        <rFont val="Segoe UI"/>
        <family val="2"/>
      </rPr>
      <t xml:space="preserve"> The budget calculators can be used at two levels of estimation. First, they can be used to provide a general estimate across multiple provider agencies that are part of a larger implementation.  However, keep in mind that certain factors will be held constant when including more than one agency at a time.  These factors will include the number of staff per agencies, their salaries, FTE, start up costs, etc.  If there is expected to be variance across the provider agencies based on the number of children/families each are expected to serve, the number of staff employed, or whether the agency is new to providing EBP and will need to incur startup costs, consider using the calculator to develop a budget for each agency one at a time (e.g., costs for agency A, cost for agency B, etc.). 
</t>
    </r>
    <r>
      <rPr>
        <i/>
        <u/>
        <sz val="11"/>
        <rFont val="Segoe UI"/>
        <family val="2"/>
      </rPr>
      <t>Salaries for provider staff</t>
    </r>
    <r>
      <rPr>
        <sz val="11"/>
        <rFont val="Segoe UI"/>
        <family val="2"/>
      </rPr>
      <t xml:space="preserve">: Although some model developers provided recommended provider staff salary ranges, these will undoubtedly vary based on region.  Please explore appropriate salary ranges for provider staff with similar qualifications in your area.  
</t>
    </r>
    <r>
      <rPr>
        <i/>
        <u/>
        <sz val="11"/>
        <rFont val="Segoe UI"/>
        <family val="2"/>
      </rPr>
      <t>Other direct costs</t>
    </r>
    <r>
      <rPr>
        <sz val="11"/>
        <rFont val="Segoe UI"/>
        <family val="2"/>
      </rPr>
      <t>: certain direct costs such as each implementing provider agency's staff's telecommunications, office supplies/utilities, and occupancy were not able to be estimated for most programs.  Please explore what types of other direct costs may be appropriate for each potential provider agency.</t>
    </r>
  </si>
  <si>
    <r>
      <rPr>
        <i/>
        <u/>
        <sz val="11"/>
        <rFont val="Segoe UI"/>
        <family val="2"/>
      </rPr>
      <t>Training options</t>
    </r>
    <r>
      <rPr>
        <sz val="11"/>
        <rFont val="Segoe UI"/>
        <family val="2"/>
      </rPr>
      <t xml:space="preserve">: Several of the models offer different options for training.  Where the instructions on the cost tabs indicate, make sure to zero out the line items for the training options that are not chosen.  Not doing so will result in an overestimate of the overall training costs.
</t>
    </r>
    <r>
      <rPr>
        <i/>
        <u/>
        <sz val="11"/>
        <rFont val="Segoe UI"/>
        <family val="2"/>
      </rPr>
      <t>Differentiating startup costs based on the level of implementation with providers in your jurisdiction:</t>
    </r>
    <r>
      <rPr>
        <sz val="11"/>
        <rFont val="Segoe UI"/>
        <family val="2"/>
      </rPr>
      <t xml:space="preserve"> It should be noted that startup cost estimates for a model that have already been established with providers may be lower.  Please consider whether you should include these costs after understanding the level of implementation among the providers in your jurisdiction. 
</t>
    </r>
    <r>
      <rPr>
        <i/>
        <u/>
        <sz val="11"/>
        <rFont val="Segoe UI"/>
        <family val="2"/>
      </rPr>
      <t>Virtual service provision:</t>
    </r>
    <r>
      <rPr>
        <sz val="11"/>
        <rFont val="Segoe UI"/>
        <family val="2"/>
      </rPr>
      <t xml:space="preserve"> In the current context of social distancing due to the COVID-19 pandemic, jurisdictions may need to make adjustments to budgets to account for virtual training and delivery of services, including consideration of costs associated with devices and connectivity as part of start-up costs.
</t>
    </r>
    <r>
      <rPr>
        <i/>
        <u/>
        <sz val="11"/>
        <rFont val="Segoe UI"/>
        <family val="2"/>
      </rPr>
      <t xml:space="preserve">Utilization rate: </t>
    </r>
    <r>
      <rPr>
        <sz val="11"/>
        <rFont val="Segoe UI"/>
        <family val="2"/>
      </rPr>
      <t xml:space="preserve">The cost per family calculation considers that for the implementation of the EBP each team has a 100% utilization case rate. However, some models that lower number of cases be served during the first year of implementation in comparison to subsequent years. For instance, MST recommends a utilization rate of 80% (which reflects a lower caseload than the typical 4 cases per therapist) in the first year to allow for therapists to acclimate. Other EBPs, do not necessarily provide a first year utilization rate. As a result, it is recommended that the organization discuss with the developer what an appropriate utilization rate would be for that specific EBP in the organization's area. Geographical considerations, such as urban versus rural areas play a large role in the flow of referrals during the first year of implementation. There is currently not a line item to calculate utilization rate in each of the budgets, cost per family calculations should be assumed at 100% utilization rate.
</t>
    </r>
    <r>
      <rPr>
        <i/>
        <u/>
        <sz val="11"/>
        <rFont val="Segoe UI"/>
        <family val="2"/>
      </rPr>
      <t>Regional considerations:</t>
    </r>
    <r>
      <rPr>
        <sz val="11"/>
        <rFont val="Segoe UI"/>
        <family val="2"/>
      </rPr>
      <t xml:space="preserve"> Because states are not required to provide the same services or prevention services in all areas of the state, there is an opportunity to plan for scaling up over time and to offer different prevention services based on regional need.
</t>
    </r>
    <r>
      <rPr>
        <i/>
        <u/>
        <sz val="11"/>
        <rFont val="Segoe UI"/>
        <family val="2"/>
      </rPr>
      <t>Formal evaluation, CQI, reporting, and technology costs:</t>
    </r>
    <r>
      <rPr>
        <sz val="11"/>
        <rFont val="Segoe UI"/>
        <family val="2"/>
      </rPr>
      <t xml:space="preserve"> Family First includes significant evaluation, continuous quality improvement (CQI), and data reporting requirements.  IV-E lead agencies should ensure that model estimates include appropriate data system, data staffing and evaluation costs.</t>
    </r>
  </si>
  <si>
    <r>
      <rPr>
        <i/>
        <u/>
        <sz val="11"/>
        <color theme="1"/>
        <rFont val="Segoe UI"/>
        <family val="2"/>
      </rPr>
      <t>Limitations on per family costs estimates</t>
    </r>
    <r>
      <rPr>
        <sz val="11"/>
        <color theme="1"/>
        <rFont val="Segoe UI"/>
        <family val="2"/>
      </rPr>
      <t>: Although these calculators provide per family cost estimates, the intent is not to provide a rate per individual for the child-level Family First federal reporting requirements.  Further validation of the rate per individual estimates offered here may be required through consultation with the developer and other implementation sites before using the calculators for this purpose.</t>
    </r>
  </si>
  <si>
    <t>Title IV-E Prevention Services Clearinghouse</t>
  </si>
  <si>
    <t>EBP Exploration and Readiness Tools</t>
  </si>
  <si>
    <t>Parent Implemented Intervention (PII) Implementation Guide</t>
  </si>
  <si>
    <t>NIRN Hexagon Tool</t>
  </si>
  <si>
    <t>List of Evidence-Based Programs and Practices</t>
  </si>
  <si>
    <t>California Evidence-Based Clearinghouse (CEBC)</t>
  </si>
  <si>
    <t>Child Trends' What Works, LINKS Database Synthesis</t>
  </si>
  <si>
    <t>Find Youth Info Program Directory</t>
  </si>
  <si>
    <t>Office of Adolescent Health Teen Pregnancy Prevention Evidence-Based Programs Database</t>
  </si>
  <si>
    <t>National Child Traumatic Stress Network Empirically Supported Treatments and Promising Practices</t>
  </si>
  <si>
    <t>Child Exposure to Trauma: Comparative Effectiveness of Interventions Addressing Maltreatment</t>
  </si>
  <si>
    <t>EBP Cost Resources</t>
  </si>
  <si>
    <t>Annie E. Casey Foundation Family First Fiscal Analysis – Tools and Resources</t>
  </si>
  <si>
    <t>Blueprints</t>
  </si>
  <si>
    <t>Family First Evidence-Based Practice Exploration &amp; Cost Tool</t>
  </si>
  <si>
    <t>Evidence-Based Practice (EBP) Overviews</t>
  </si>
  <si>
    <t>Name of Intervention</t>
  </si>
  <si>
    <t>Overview</t>
  </si>
  <si>
    <t>Target Population</t>
  </si>
  <si>
    <t>Program Goals</t>
  </si>
  <si>
    <t>Recommended Intensity</t>
  </si>
  <si>
    <t>Recommended Duration</t>
  </si>
  <si>
    <t>Staffing Ratio</t>
  </si>
  <si>
    <t>Staffing Qualifications</t>
  </si>
  <si>
    <t>Caseload Recommendations</t>
  </si>
  <si>
    <t>Training Requirements</t>
  </si>
  <si>
    <t>Contact</t>
  </si>
  <si>
    <t>Category under which Title IV-E Prevention Services Clearinghouse is reviewing program or may review program</t>
  </si>
  <si>
    <t>IV-E Clearinghouse Rating</t>
  </si>
  <si>
    <t>Is a formal evaluation waiver available?</t>
  </si>
  <si>
    <t>Jurisdictions that have included this EBP in their Family First plan to date</t>
  </si>
  <si>
    <t>Last Updated</t>
  </si>
  <si>
    <t>Brief Strategic Family Therapy</t>
  </si>
  <si>
    <t>Brief Strategic Family Therapy (BSFT) uses a structured family systems approach to treat families with children or adolescents (6 to 17 years) who display or are at risk for developing problem behaviors including substance abuse, conduct problems, and delinquency. There are three intervention components. First, counselors establish relationships with family members to better understand and ‘join’ the family system. Second, counselors observe how family members behave with one another in order to identify interactional patterns that are associated with problematic youth behavior. Third, counselors work in the present, using reframes, assigning tasks and coaching family members to try new ways of relating to one another to promote more effective and adaptive family interactions. 
Developers noted that BSFT has been successfully integrated with other EBPs, including MI and Trauma-focused CBT.</t>
  </si>
  <si>
    <t>Families with children or adolescents (6 to 17 years) who display or are at risk for developing problem behaviors including: drug use and dependency, antisocial peer associations, bullying, or truancy.</t>
  </si>
  <si>
    <t xml:space="preserve">For the child/youth:
•	Reduce behavior problems, while improving self-control
•	Reduce associations with antisocial peers
•	Reduce drug use
•	Develop prosocial behaviors
For the family:
•	Improvements in maladaptive patterns of family interactions (family functioning)
•	Improvements in family communication, conflict-resolution, and problem-solving skills
•	Improvements in family cohesiveness, collaboration, and child/family bonding
•	Effective parenting, including successful management of children's behavior and positive affect in the parent-child interactions
</t>
  </si>
  <si>
    <t>60-90 minute weekly sessions.</t>
  </si>
  <si>
    <t>12-16 weekly sessions, depending on individual and family needs. Sessions are held in community centers, clinics, health agencies, or homes.</t>
  </si>
  <si>
    <t xml:space="preserve">1 clinical supervisor to 7 clinicians </t>
  </si>
  <si>
    <t>Master’s degrees in social work, marriage and family therapy, psychology or a related field. Therapists are expected to have training and/or experience with basic clinical skills common to many behavioral interventions and family systems theory.</t>
  </si>
  <si>
    <t>If conducted in the office: one full-time counselor can provide the BSFT intervention to 15-20 families.
If conducted in home, clinic, or other location outside the office: one full-time counselor can provide BSFT to 10-12 families. 
On the average, a BSFT Competent therapist can typically treat 35-55 families to completion within one year.</t>
  </si>
  <si>
    <t xml:space="preserve">BSFT counselors are required to participate in four phases of training and are expected to have training and/or experience with basic clinical skills. BSFT training consists of live workshops and clinical case consultations and live family sessions if desired. BSFT training also consists of a supervision practicum that begins 1-2 weeks after the initial workshop and continues for 4-6 months depending on trainee advancement.
Sites that wish to offer BSFT are initially required to demonstrate readiness for integrating the BSFT program into their organization. </t>
  </si>
  <si>
    <t>Olga Hervis ohervis@bsft-av.com; Lisa Bokalders lbokalders@bsft-av.com</t>
  </si>
  <si>
    <t>Mental Health, Substance Abuse, Parenting Skills</t>
  </si>
  <si>
    <t>Well-Supported</t>
  </si>
  <si>
    <t>Yes</t>
  </si>
  <si>
    <t>Child First is a two-generation, home-based mental health intervention for the most vulnerable young children (prenatal through age five years) and their families, who likely have current or past Child Welfare Services involvement. It is designed for young children who have usually experienced trauma and/or have social-emotional, behavioral, developmental, and/or learning problems. Most live in environments where there is violence, neglect, mental illness, substance abuse, or homelessness. The goals of Child First are to help them heal from the effects of trauma and adversity; improve child and parent mental health; improve child development; and reduce abuse and neglect.</t>
  </si>
  <si>
    <t>Children prenatal to 5 years old and their parents/caregivers who are at risk of or have experienced child abuse, neglect, or trauma; have social-emotional, behavioral, or developmental problems; or live in families experiencing significant trauma and adversity.</t>
  </si>
  <si>
    <t>٠Decreased child problem behaviors
٠Improved child social-emotional regulation and well-being
٠Improved child communication and cognition
٠Decreased child abuse and neglect
٠Improved parent mental health
٠Improved parent executive functioning
٠Increased nurturing, responsive, and protective parent-child relationships
٠Increased stabilization and connection to needed services and supports</t>
  </si>
  <si>
    <t>Families receive visits twice per week during the assessment period (first month) and then once a week or more, depending on the needs of the child and family. After assessment, Clinicians and Care Coordinators may visit together or separately, based on the individual family needs. Visits last 1- 1.5 hours.</t>
  </si>
  <si>
    <t>Services generally continue for six to twelve months, but may be longer based on individual family needs.</t>
  </si>
  <si>
    <t>1 supervisor : 4 therapists : 4 care coordinators</t>
  </si>
  <si>
    <t>A Master’s level developmental/mental health clinician, and a bachelor’s level care coordinator.</t>
  </si>
  <si>
    <t>Each Child First team usually carries between 12 and 16 families, such that they are able to complete 12-14 home visits per 40 hour work week. However, this varies based on intensity of service need, success of planned visits, and travel time.</t>
  </si>
  <si>
    <t>The total number of days of formal training varies by role and whether it is an agency new to Child First or an established site: Clinical Director: New Agency – 21 days; New Clinical Director at an agency already implementing Child First – 17 days; Clinician: New agency – 17 days; New Clinician at an agency already implementing Child First – 13 days; Care Coordinator: New agency – 10 days; Care Coordinator at an agency already implementing Child First – 6 days.</t>
  </si>
  <si>
    <t>Serena Curry, SCurry@childfirst.org</t>
  </si>
  <si>
    <t>Parenting Skills, Mental Health</t>
  </si>
  <si>
    <t>Supported</t>
  </si>
  <si>
    <t>N/A</t>
  </si>
  <si>
    <t>Not included in any current approved plan.</t>
  </si>
  <si>
    <t>Child Parent Psychotherapy (CPP)</t>
  </si>
  <si>
    <t xml:space="preserve">Child Parent Psychotherapy (CPP) is a treatment for trauma-exposed children aged 0-5. Typically, the child is seen with their primary caregiver, and the dyad is the unit of treatment. CPP examines how the trauma and the caregivers’ relational history affect the caregiver-child relationship and the child’s developmental trajectory. A central goal is to support and strengthen the caregiver-child relationship as a vehicle for restoring and protecting the child’s mental health. Treatment also focuses on contextual factors that may affect the caregiver-child relationship (e.g., culture and socioeconomic and immigration related stressors). </t>
  </si>
  <si>
    <t>CPP serves children birth to 5 years and their parents/caregivers.</t>
  </si>
  <si>
    <t xml:space="preserve">CPP aims to address in children:
•	exposure to trauma
•	internalizing and externalizing symptoms
•	and/or symptoms of posttraumatic stress disorder (PTSD) 
The program also addresses the following for parents/caregivers:
•	negative attributions about the child
•	problems in the parent-child relationship
•	 maladaptive parenting strategies.
•	When appropriate, the program targets parental symptoms including PTSD symptoms (avoidance, intrusion, and hyperarousal), depression, and anxiety.
</t>
  </si>
  <si>
    <t>CPP sessions are scheduled weekly until the end of treatment. Session length can range from 60-90 minutes. The program is typically conducted in a(n) adoptive home, birth family home, foster/kinship home, outpatient clinic, Community-based Agency / Organization / Provider, School Setting (Including: Day Care, Day Treatment Programs, etc.).</t>
  </si>
  <si>
    <t xml:space="preserve">Recommended duration of service is 52 weeks, but the average duration of service is 20-32 weeks. </t>
  </si>
  <si>
    <t>No recommended staffing ratio.</t>
  </si>
  <si>
    <t>Practitioners: Master's level training
Supervisor: Master's level degree plus minimum of 1 year training in the model.</t>
  </si>
  <si>
    <t>No recommended caseload size.</t>
  </si>
  <si>
    <t>There are a number of different training models. Training can be arranged through the Child Trauma Research Program. Training also occurs through the Learning Collaborative model of the National Child Traumatic Stress Network. In general, training is tailored to the needs of the organization. Typically, training involves an initial 3-day workshop and then quarterly (3 more times in a year) 2-day additional workshops. In addition, training involves bi-monthly telephone-based case consultation of ongoing treatment cases involving children aged 0-5 who have experienced a trauma.</t>
  </si>
  <si>
    <t>Chandra Ghosh Ippen, PhD
Chandra.ghosh@ucsf.edu</t>
  </si>
  <si>
    <t>Mental Health</t>
  </si>
  <si>
    <t>Promising</t>
  </si>
  <si>
    <t>No</t>
  </si>
  <si>
    <t>Illinois, Washington</t>
  </si>
  <si>
    <t>Family Check-Up</t>
  </si>
  <si>
    <t xml:space="preserve">Family Check-Up is a brief, strengths-based intervention that aims to improve parenting skills and family management practices, with the goals of improving a range of emotional, behavioral and academic child outcomes. The Family Check-Up® consists of three main components: (1) an initial interview that involves rapport building and motivational interviewing to explore parental strengths and challenges related to parenting and the family context; (2) an ecological family assessment that includes parent and child questionnaires, a teacher questionnaire for children that are in school, and a videotaped observation of family interactions; and (3) tailored feedback that involves reviewing assessment results and discussing follow-up service options for the family. Follow-up services may include clinical or support services in the community. </t>
  </si>
  <si>
    <t xml:space="preserve">
Caregivers of children 2-17 years old with adolescent adjustment and problem behaviors. </t>
  </si>
  <si>
    <t>٠Improve children’s social and emotional adjustment by providing assessment-driven support for parents to encourage and support positive parenting, and to reduce coercive conflict
٠Reduce young children’s behavior problems at school
٠Reduce young children’s emotional distress
٠Increase young children’s self-regulation and school readiness
٠Improve parent monitoring in adolescence
٠Reduce parent-adolescent conflict
٠Reduce adolescent depression
٠Reduce antisocial behavior and delinquent activity
٠Improve grades and school attendance</t>
  </si>
  <si>
    <t xml:space="preserve">Phase 1- Family Check-Up: Three sessions, approximately one-hour each at 1-2 weeks apart. Phase 2-Everyday Parenting sessions: Intensity can vary. Recommended intensity is 1 one-hour session every two weeks for a minimum of 4 sessions.
</t>
  </si>
  <si>
    <t>1-4 months depending on the individual needs of the family</t>
  </si>
  <si>
    <t>No formal education requirements but providers must have previous experience delivering family-based interventions. Paraprofessionals can deliver the model. However, it is recommended that providers have a master’s degree in counseling, social work, education, or a related field.</t>
  </si>
  <si>
    <t>No caseload requirements.</t>
  </si>
  <si>
    <t>Providers must participate in a training in order to become a Qualified Family Check-Up® Provider. The training is delivered in three formats: (1) an in-person 2-day training; (2) an online training that consists of an e-learning course and two webinars; and (3) hybrid training that consists of an e-learning course, 1-day in-person training, and 1-hour consultations that occur before and after training.</t>
  </si>
  <si>
    <t>Anne Mauricio amariem@uoregon.edu</t>
  </si>
  <si>
    <t>Mental Health, Parenting Skills</t>
  </si>
  <si>
    <t>Not included in any current submitted plan.</t>
  </si>
  <si>
    <t xml:space="preserve">Family Spirit is a culturally tailored home-visiting program designed to promote optimal health and well-being for parents and their children. It combines the use of paraprofessionals from the community as home visitors and a culturally focused, strengths-based curriculum as a core strategy to support young families. Parents gain knowledge and skills to promote healthy development and positive lifestyles for themselves and their children. Family Spirit is the first and only evidence-based early childhood home-visiting program designed for and by American Indian communities; the first to demonstrate efficacy of paraprofessionals; and is uniquely tailored to address the behavioral health disparities that pose the greatest challenges to Native communities.
</t>
  </si>
  <si>
    <t xml:space="preserve">Any at-risk or young adult mother who is pregnant (ideally 28 weeks gestation or sooner) and/or has a child younger than 3 years old and lives in a Native American community; however, can be used with any pregnant woman and/or woman with a child younger than 3 years old, regardless of ethnicity/race. Participation in the Family Spirit program is usually voluntary. No CPS contact required. </t>
  </si>
  <si>
    <t xml:space="preserve">Mothers: 
•	Increase parenting knowledge and skills 
•	Decrease psychosocial risks that could interfere with positive child-rearing (drug and alcohol use; depression; low education and employment; domestic violence problems)
•	Increase likelihood of taking child to recommended well-child visits and health care 
•	Increase familiarity with and use of community services that address specific needs 
•	Increase life skills and behavioral outcomes across the lifespan 
Children: 
•	Increase likelihood of optimal physical, cognitive, and social/emotional development from birth to 3 years 
•	Increase early school success
•	Increase life skills and behavioral outcomes across the lifespan
</t>
  </si>
  <si>
    <t xml:space="preserve">Total of 52 home visits which should be 45 minutes to 1.5 hours in length. Sessions 1–12 should be taught weekly through birth. Sessions 13–23 should be taught weekly through 3 months postpartum. Sessions 24–29 should be taught biweekly through 6 months postpartum. Sessions 30–45 should be taught monthly through 22 months postpartum. Lastly, sessions 46–52 should be taught bimonthly until the child’s 3rd birthday. </t>
  </si>
  <si>
    <t xml:space="preserve">39 months (third trimester until 36 months postpartum)
</t>
  </si>
  <si>
    <t>6-10 Health Educators (home visitor) per supervisor recommended.</t>
  </si>
  <si>
    <t xml:space="preserve">Home visitors: High school degree or equivalent (i.e., GRE), plus two+ years of related work experience.
Supervisors: College degree or equivalent work experience, plus experience in home visiting, case management, community networking, and staff supervision.
</t>
  </si>
  <si>
    <t>A recommended caseload of up to 20-25 families per full-time Health Educator (home visitor). This may fluctuate depending on the commuting distance to home visits.</t>
  </si>
  <si>
    <t xml:space="preserve">Family Spirit training occurs in three phases: 1) pre-training; 2) core training; 3) post-training. Pre-training sets trainees up with an introduction along with independent work. The live multi-day core training certifies home visitors to administer the Family Spirit Program in their community followed by specialized implementation support during post-training. The three phases are designed to ensure that home visitors are fully trained to implement the model, and the site is fully prepared to implement successfully in their community.
</t>
  </si>
  <si>
    <t>familyspirit@jhu.edu</t>
  </si>
  <si>
    <t>Washington, Oregon, California (forthcoming)</t>
  </si>
  <si>
    <t>Functional Family Therapy (FFT)</t>
  </si>
  <si>
    <t>Functional Family Therapy (FFT) is a clinical treatment offered to families with an adolescent between the ages of 11-18 experiencing psychiatric, emotional, or behavioral difficulties including substance abuse and have been referred by the juvenile justice, mental health, school or child welfare systems. FFT provides an opportunity to address trauma in a family context, allowing family members to process traumatic events together. The FFT model aims at helping families to identify patterns that lead to adverse symptoms and behaviors and seeks to support the family in gaining a deeper understanding of the impact of trauma on the individual and on the family dynamic. FFT is a focus on assessment and intervention to address risk and protective factors within and outside of the family that impact the adolescent and their adaptive development. FFT consists of five major components: engagement, motivation, relational assessment, behavior change and generalization.</t>
  </si>
  <si>
    <t>Target population: 11-18 year olds with very serious problems such as conduct disorder, violent acting-out, and substance abuse. FFT is a family intervention program for dysfunctional youth with disruptive, externalizing problems. FFT has been applied to a wide range of problem youth and their families in various multi-ethnic, multicultural contexts.</t>
  </si>
  <si>
    <t xml:space="preserve">•	Eliminate youth referral problems (i.e., delinquency, oppositional behaviors, violence, substance use)
•	Improve family and individual skills 
•	Improve prosocial behaviors (i.e., school attendance)
</t>
  </si>
  <si>
    <t xml:space="preserve">One-hour weekly sessions unless needed more frequently.  </t>
  </si>
  <si>
    <t>12 to 14 sessions; the number of sessions may be as few as 8 sessions for mild cases and up to 30 sessions for more difficult situations. In most programs, sessions are spread over a three or four month period.</t>
  </si>
  <si>
    <t>Supervisor to therapist 8:1</t>
  </si>
  <si>
    <t>Master’s degree is required for the supervisor, while most FFT therapists hold a master’s degree – it is not a requirement.</t>
  </si>
  <si>
    <t>10-12 (supervisor carries no fewer than 5)</t>
  </si>
  <si>
    <t xml:space="preserve">In the clinical training phase, local clinicians are trained on the FFT model through weekly consultations and activities (typically over the span of 12 to 18 months). 
</t>
  </si>
  <si>
    <t>For Functional Family Therapy, Inc. LLC: Holly Demaranville; Communications Director; hollyfft@comcast.net; For Functional Family Therapy Associates: Tom Sexton, tom@functionalfamilytherapy.com</t>
  </si>
  <si>
    <t>Alaska, Colorado, Kansas, Kentucky, Maine, Maryland, Nebraska, North Dakota, Ohio, Oregon, Utah, Virginia, Washington, West Virginia, California (forthcoming)</t>
  </si>
  <si>
    <t>Healthy Families America (HFA) is a home visiting program model designed to work with families who may have histories of trauma, intimate partner violence, mental health issues, and/or substance abuse issues. HFA services are offered voluntarily, intensively, and over the long-term (3 to 5 years after the birth of the baby). Additionally, and with National Office approval, HFA sites may voluntarily enroll families referred from Child Welfare/Children’s Protective Services with a child up to 24 months of age, offering services for a minimum of three years subsequent to enrollment.</t>
  </si>
  <si>
    <t xml:space="preserve">Expectant families and families with a child up to 24 months of age, who are at-risk for child abuse and neglect and other adverse childhood experiences. </t>
  </si>
  <si>
    <t>٠Build and sustain community partnerships to systematically engage overburdened families in home visiting services prenatally or at birth
٠Cultivate and strengthen nurturing parent-child relationships
٠Promote healthy childhood growth and development
٠Enhance family functioning by reducing risk and building protective factors</t>
  </si>
  <si>
    <t>Weekly home visits typically run 50-60 minutes. Upon meeting the defined criteria for family functioning, visit frequency is reduced to biweekly visits, monthly visits, and quarterly visits and services are tapered off over time. Typically, during pregnancy, families receive 2-4 visits per month. During times of crisis families may be seen 2 or more times in a week.</t>
  </si>
  <si>
    <t>Services are offered for a minimum of three years. Sites using HFA Child Welfare Protocols may enroll families referred from child welfare up to 24 months of age, and are offered services for at least three years post-enrollment.</t>
  </si>
  <si>
    <t>The HFA National Office requires one full-time supervisor for every six full-time direct service staff, although a ratio of one to five is preferred.</t>
  </si>
  <si>
    <t>Minimum of a high school diploma or equivalent; experience working with children and families; knowledge of infant and child development.</t>
  </si>
  <si>
    <t>Caseload size varies. HFA uses a point system to assign weights to each family based on their needs and prescribes maximum case weight and maximum number of families. The maximum number of families that can be served at one time is 25. Sites using HFA Child Welfare Protocols are recommended to have no more than 20 families on caseloads.</t>
  </si>
  <si>
    <t>4 full days for direct service staff, 5 days for supervisors; two tracks: parent survey (assessment) and foundations (home visiting); 3 day advanced model training for program managers.</t>
  </si>
  <si>
    <t>Amy Faugas, afaugas@preventchildabuse.org</t>
  </si>
  <si>
    <t>Colorado, Illinois, Kansas, Maryland, Nebraska, North Dakota, West Virginia, New Hampshire</t>
  </si>
  <si>
    <t xml:space="preserve">Homebuilders provides intensive, in-home counseling, skill building and support services for families who have children (0-18 years old) at imminent risk of out-of-home placement or who are in placement and cannot be reunified without intensive in-home services. Homebuilders services are concentrated during a period of 4 to 6 weeks with the goal of preventing out-of-home placements and achieving reunifications. Homebuilders therapists typically have small caseloads of 2 families at a time. Families typically receive 40 or more hours of direct face-to-face services. </t>
  </si>
  <si>
    <t>Families who have children (0-18 years old) with emotional or behavioral problems, or have experienced abuse or neglect and are at high-risk of out-of-home placement or already in placement and reunifying.</t>
  </si>
  <si>
    <t>٠Reduce child abuse and neglect
٠Reduce family conflict
٠Reduce child behavior problems
٠Prevent placement or successfully reunify with their children</t>
  </si>
  <si>
    <t>Three to five 2-hour sessions per week; an average of 8 to 10 hours per week of face to face contact, with telephone contact between sessions.</t>
  </si>
  <si>
    <t xml:space="preserve">An average of 4-6 weeks. Families typically receive 40 or more hours of direct face-to-face services. Two aftercare 'booster sessions' totaling up to five hours are available in the six months following referral. </t>
  </si>
  <si>
    <t>A team of 3-5 therapists, 1 supervisor (carries a partial caseload), and 1 secretary/support staff.</t>
  </si>
  <si>
    <t xml:space="preserve">Master's degree in psychology, social work, counseling, or a related field, or Bachelor's degree in same fields plus two years of experience working with families. Supervisors have at least one year of supervision experience. </t>
  </si>
  <si>
    <t>Carry caseloads of two families at a time on average, but can be as high as five. The first-year therapists carry a maximum of 16 families for the year (2 at a time in combination with trainings etc.) Supervisors without Homebuilders experience must carry 6 families for first 1.5 years.</t>
  </si>
  <si>
    <t>5 days initial training; 8 days of intermediate/advanced training; and 7 additional days of training for supervisors.</t>
  </si>
  <si>
    <t>Shelley Leavitt, sleavitt@institutefamily.org</t>
  </si>
  <si>
    <t>Arkansas, Kentucky, North Dakota, Washington State, New Hampshire</t>
  </si>
  <si>
    <t>Incredible Years - Toddler Basic</t>
  </si>
  <si>
    <t>The Icredible Years Toddlers Basic program typically targets higher risk parents who need support forming secure attachments with their toddlers or addressing their toddlers’ behavior problems. It also helps parents create secure and safe environments for children, establish routines, use appropriate discipline, and reduce behavior problems. IY-Toddlers focuses on 8 developmentally appropriate topics during the sessions: (1) child-directed play, (2) promoting toddler’s language, (3) social and emotional coaching, (4) praise and encouragement, (5) incentives, (6) separations and reunions, (7) limit setting, and (8) handling misbehavior.</t>
  </si>
  <si>
    <t>Parents with toddlers (1 to 3 years).  The program typically targets higher risk populations and parents of children with behavior problems.</t>
  </si>
  <si>
    <t>٠Improved parent-child interactions, building positive relationships and attachment, improved parental functioning, less harsh and more nurturing parenting, and increased parental social support and problem solving
٠Improved teacher-student relationships, proactive classroom management skills, and strengthened teacher-parent partnerships
٠Prevention, reduction, and treatment of early onset conduct behaviors and emotional problems
٠Promotion of child social competence, emotional regulation, positive attributions, academic readiness, and problem solving
٠Prevention of conduct disorders, academic underachievement, delinquency, violence, and drug abuse</t>
  </si>
  <si>
    <t>Typically 12 to 13 weekly group sessions of about 2 hours each.</t>
  </si>
  <si>
    <t>12-13 weeks. However, for families at higher risk, 18-20 weeks may be more appropriate.</t>
  </si>
  <si>
    <t>No IY-dedicated supervisor is required as part of the model.</t>
  </si>
  <si>
    <t>Recommendation that among the 2 therapists that lead a group, both have Master's degrees, but have one could have a Bachelor's degree and one Master's.</t>
  </si>
  <si>
    <t>No more than 1-2 groups at a time.  Running two groups would be a maximum of 16 families.</t>
  </si>
  <si>
    <t>Three-day (7.5 hour) in-person training or 5 online sessions (3.25 hours each). In addition, recommendation of on-going monthly consultation and group leader accreditation.</t>
  </si>
  <si>
    <t>Jamila Reid, jamilar@incredibleyears.com</t>
  </si>
  <si>
    <t>Maine. Washington and Ohio also looking to submit in the future.</t>
  </si>
  <si>
    <t>Incredible Years - School Age Basic</t>
  </si>
  <si>
    <t>The School Age version of Incredible Years can be offered as a group-based prevention or treatment program designed for parents of children (6 to 12 years). The program typically targets higher risk populations and parents of children diagnosed with problems such as oppositional defiant disorder and attention deficit hyperactivity disorder (ADHD). IY-School Age aims to strengthen parent-child interactions and attachment and reduce harsh discipline. It also aims to foster parents’ abilities to promote children’s social, emotional, and academic development and reduce behavior problems. IY-School Age focuses on 3 developmentally appropriate topics during the sessions: (1) promoting positive behavior, (2) reducing inappropriate behaviors, and (3) supporting children’s education. </t>
  </si>
  <si>
    <t>Parents of children 6 to 12 years. The program typically targets higher risk populations and parents of children with behavior problems.</t>
  </si>
  <si>
    <t>٠Improved parent-child interactions, building positive relationships and attachment, improved parental functioning, less harsh and more nurturing parenting, and increased parental social support and problem solving
٠Strengthened teacher-parent partnerships
٠Prevention, reduction, and treatment of early onset conduct behaviors and emotional problems
٠Promotion of child social competence, emotional regulation, positive attributions, academic readiness, and problem solving
٠Prevention of conduct disorders, academic underachievement, delinquency, violence, and drug abuse</t>
  </si>
  <si>
    <t>Typically 12 to 20 weekly group sessions of about 2 hours each.</t>
  </si>
  <si>
    <t>12-20 weeks.  However, for families at higher risk, 18-20 weeks may be more appropriate.</t>
  </si>
  <si>
    <t>Washington and Ohio also looking to submit in the future</t>
  </si>
  <si>
    <t>Intercept®, developed by Youth Villages, is an integrated, intensive in-home parenting skills program used to safely prevent children from entering custody or to reunify them with family as quickly as possible if a period of out-of-home care is necessary.</t>
  </si>
  <si>
    <t xml:space="preserve">
٠Reduce child behavior problems
٠Reduce child psychosocial functioning
٠Reduce family conflict
٠Prevent placement or successfully reunify with their children
٠Child school performance </t>
  </si>
  <si>
    <t>3 sessions weekly in the home or community, depending on family need, and providing 24-hour on-call crisis support.</t>
  </si>
  <si>
    <t>4 - 9 months (typically, 4-6 months for prevention or 6-9 months for reunification).</t>
  </si>
  <si>
    <t>A team of 4 - 5 specialists and a supervisor with a licensed program model expert providing clinical evaluation.</t>
  </si>
  <si>
    <t>Master’s and Bachelor’s (with significant experience) level specialists working under the supervision and guidance of licensed mental health experts in the Intercept model. Specialists are required to have a Master’s degree in a related field or a Bachelor’s degree in a related field, with at least 1 year of experience.</t>
  </si>
  <si>
    <t>Specialists have small caseloads of four to five families.</t>
  </si>
  <si>
    <t>Training requirements vary on if the jurisdiction is licensed or if Youth Villages is providing the service.</t>
  </si>
  <si>
    <t>Sarah Lord, Sarah.Lord@YouthVillages.org</t>
  </si>
  <si>
    <t>Arkansas</t>
  </si>
  <si>
    <t>Motivational Interviewing (MI)</t>
  </si>
  <si>
    <t>Motivational Interviewing (MI) is a method of counseling clients designed to promote behavior change and improve physiological, psychological, and lifestyle outcomes. MI aims to identify ambivalence for change and increase motivation by helping clients progress through five stages of change: pre-contemplation, contemplation, preparation, action, and maintenance. It aims to do this by encouraging clients to consider their personal goals and how their current behaviors may compete with attainment of those goals. </t>
  </si>
  <si>
    <t>MI can be used to promote behavior change with a range of target populations and for a variety of problem areas.</t>
  </si>
  <si>
    <t>٠Enhance internal motivation to change
٠Reinforce motivation (e.g., enhance participation in services)
٠Develop a plan to achieve change</t>
  </si>
  <si>
    <t>Not specified.</t>
  </si>
  <si>
    <t>Typically delivered over one to three sessions, each session lasting for 30-50 minutes. The dosage may vary if MI is delivered in conjuntion with other treatment(s).</t>
  </si>
  <si>
    <t>There are no minimum qualifications for MI providers.</t>
  </si>
  <si>
    <t>While there are no required qualifications for individuals to deliver MI, training can be provided by MINT (Motivational Interviewing Network of Trainers) certified trainers. Level 1 training is recommended for admin staff (such as intake folks), clinical staff are recommended to receive level 1 - 3, supervisors recommended to take level 5, and a train the trainer approach is available at level 6.</t>
  </si>
  <si>
    <t>Ali Hall, mi.consult.ahall@gmail.com</t>
  </si>
  <si>
    <t>Substance Abuse*
(*some jurisdictions have received approval to use it for other service categories)</t>
  </si>
  <si>
    <t>Yes*</t>
  </si>
  <si>
    <t>Alaska, Arkansas, Colorado Illinois, Kentucky, Utah, Oregon, Washington DC, Washington State, West Virginia, New Hampshire, California (forthcoming)</t>
  </si>
  <si>
    <t>Multisystemic Therapy (MST) is an intensive family and community-based treatment for serious juvenile offenders with possible substance abuse issues and their families. The primary goals of MST are to decrease youth criminal behavior and out-of-home placements. Critical features of MST include: (a) integration of empirically based treatment approaches to address a comprehensive range of risk factors across family, peer, school, and community contexts; (b) promotion of behavior change in the youth's natural environment, with the overriding goal of empowering caregivers; and (c) rigorous quality assurance mechanisms that focus on achieving outcomes through maintaining treatment fidelity and developing strategies to overcome barriers to behavior change.</t>
  </si>
  <si>
    <t>Youth age 12-17 with serious emotional/behavioral needs &amp; their families.</t>
  </si>
  <si>
    <t>٠Increase competence in promoting healthy development and managing common child behavior problems and developmental issues
٠Reduce use of coercive and punitive methods of disciplining children
٠Increase use of positive parenting strategies in managing their children’s behavior
٠Increase confidence in raising their children
٠Decrease behavior problems in their children (for families experiencing difficult child behaviors)
٠Improve partners’ communication about parenting issues
٠Reduce stress associated with raising children</t>
  </si>
  <si>
    <t>Early in treatment, the therapist may meet with the family several times a week, but as treatment progresses, the intensity tapers. Close to treatment termination, the therapist may only contact the family as needed to assure that treatment gains have been maintained by the family. Throughout treatment, contacts may range from brief check-ins either by telephone or face-to-face, up to two-hour sessions addressing specific treatment issues such as substance misuse, family communication and problem solving.</t>
  </si>
  <si>
    <t>Each family is served for an average of four months with at least one weekly visit to the home.</t>
  </si>
  <si>
    <t>A MST Team: 1 supervisor and 4 therapists.  Each therapist serves an average of 4 families at a time.</t>
  </si>
  <si>
    <t>Supervisors must be licensed Master's mental health professionals. Therapists should be Master's Level, but license is not required. At least 66% of the therapists must have a Master's degree in counseling or social work.</t>
  </si>
  <si>
    <t>Each therapist carries a maximum caseload of 6 families and case length ranges from 3 to 5 months.</t>
  </si>
  <si>
    <t>All trainees complete the standard 5-day orientation. The team participates in weekly consultation with an expert on the intervention, quarterly booster training, ongoing organizational assistance, and quality assurance support through the monitoring of treatment fidelity/adherence.</t>
  </si>
  <si>
    <t>Tom Pietkiewicz, tom.pietkiewicz@mstservices.com</t>
  </si>
  <si>
    <t>Mental Health, Substance Abuse</t>
  </si>
  <si>
    <t>Arkansas, Colorado, Illinois, Kansas, Kentucky, Maryland, Nebraska, North Dakota, Virginia, Washington State, New Hampshire, Tennessee</t>
  </si>
  <si>
    <t>Nurse Family Partnership (NFP)</t>
  </si>
  <si>
    <r>
      <t>Nurse Family Partnership (NFP) is a home-visiting program that is implemented by trained registered nurses. NFP serves first-time, low-income mothers</t>
    </r>
    <r>
      <rPr>
        <sz val="11"/>
        <color theme="7"/>
        <rFont val="Segoe UI"/>
        <family val="2"/>
      </rPr>
      <t xml:space="preserve"> </t>
    </r>
    <r>
      <rPr>
        <sz val="11"/>
        <rFont val="Segoe UI"/>
        <family val="2"/>
      </rPr>
      <t>from</t>
    </r>
    <r>
      <rPr>
        <sz val="11"/>
        <color theme="1"/>
        <rFont val="Segoe UI"/>
        <family val="2"/>
      </rPr>
      <t xml:space="preserve"> pregnancy until the child turns two. The primary aims of NFP are to improve the health, relationships, and economic well-being of mothers and their children. </t>
    </r>
    <r>
      <rPr>
        <sz val="11"/>
        <rFont val="Segoe UI"/>
        <family val="2"/>
      </rPr>
      <t>N</t>
    </r>
    <r>
      <rPr>
        <sz val="11"/>
        <color theme="1"/>
        <rFont val="Segoe UI"/>
        <family val="2"/>
      </rPr>
      <t xml:space="preserve">urses provide support related to individualized goal setting, preventative health practices, parenting skills, and educational and career planning. </t>
    </r>
    <r>
      <rPr>
        <sz val="11"/>
        <rFont val="Segoe UI"/>
        <family val="2"/>
      </rPr>
      <t xml:space="preserve"> However, the content of the program can vary based on the needs and requests of the mother.</t>
    </r>
  </si>
  <si>
    <r>
      <t xml:space="preserve">Serves first-time, low-income mothers from early pregnancy to </t>
    </r>
    <r>
      <rPr>
        <sz val="11"/>
        <rFont val="Segoe UI"/>
        <family val="2"/>
      </rPr>
      <t>child</t>
    </r>
    <r>
      <rPr>
        <sz val="11"/>
        <color theme="1"/>
        <rFont val="Segoe UI"/>
        <family val="2"/>
      </rPr>
      <t xml:space="preserve"> two years of age.</t>
    </r>
  </si>
  <si>
    <t>1. Maternal health, prenatal appointments, providing information for doctor appointments; 2. child development, milestones, bonding; 3. economic self sufficiency, discuss goals for work, education, child care, connect the family to resources.</t>
  </si>
  <si>
    <t>NFP aims for about 60 visits.</t>
  </si>
  <si>
    <t>60 - 75 minute visits in the home or location of the mother's choosing. For the first month after enrollment, visits occur weekly. Then bi-weekly or on an as-needed basis.</t>
  </si>
  <si>
    <t xml:space="preserve">1 supervisor: 8 nurse home visitors: 1 support staff </t>
  </si>
  <si>
    <t>Registered nurses with a Bachelor's degree or higher typically deliver NFP.</t>
  </si>
  <si>
    <t>For year 1, caseload size is recommended to be around 16 clients; for year 2+ caseload size is recommended to be 25-30.</t>
  </si>
  <si>
    <t xml:space="preserve">NFP nurses, nurse supervisors, and Program Administrators are required to complete all educational sessions with the NFP National Service Office (NSO). In-person and online trainings provide guidance on how to implement the program model with fidelity. They also provide guidance on how nurses can successfully develop therapeutic relationships with mothers. NFP nurses also participate in ongoing, regular meetings with staff members and NSO supervisors. </t>
  </si>
  <si>
    <t>felicia.fognani@nursefamilypartnership.org</t>
  </si>
  <si>
    <t>Alaska, Colorado, Maryland, North Dakota, Virginia, Washington</t>
  </si>
  <si>
    <t>Parent Child Interaction Therapy (PCIT) is a dyadic behavioral intervention for children (ages 2–7 years) and their parents or caregivers that focuses on decreasing externalizing child behavior problems (e.g., defiance, aggression), increasing child social skills and cooperation, and improving the parent-child attachment relationship. It teaches parents traditional play-therapy skills to use as social reinforcers of positive child behavior and traditional behavior management skills to decrease negative child behavior. Parents are taught and practice these skills with their child in a playroom while coached by a therapist. The coaching provides parents with immediate feedback on their use of the new parenting skills, which enables them to apply the skills correctly and master them rapidly. PCIT is time-unlimited; families remain in treatment until parents have demonstrated mastery of the treatment skills and rate their child’s behavior as within normal limits on a standardized measure of child behavior.</t>
  </si>
  <si>
    <t>Children ages 2-7 years old with behavior and parent-child relationship problems; may be conducted with parents, foster parents, or other caretakers.</t>
  </si>
  <si>
    <t>٠Build close relationships between parents and their children using positive attention strategies
٠Help children feel safe and calm by fostering warmth and security between parents and their children
٠Increase children’s organizational and play skills
٠Decrease children’s frustration and anger
٠Educate parent about ways to teach child without frustration for parent and child
٠Enhance children’s self-esteem
٠Improve children’s social skills such as sharing and cooperation
٠Teach parents how to communicate with young children who have limited attention spans</t>
  </si>
  <si>
    <t>One or two 1-hour sessions per week with the therapist.</t>
  </si>
  <si>
    <t>The average number of sessions is 14, but varies from 10 to 20 sessions. Treatment continues until the parent masters the interaction skills to pre-set criteria and the child's behavior has improved to within normal limits.</t>
  </si>
  <si>
    <t>The equivalent of a Master's degree and licensure as a mental health provider is required.</t>
  </si>
  <si>
    <t>It is recommended that the 40 hours of intensive skills training be followed by completion of two supervised cases prior to independent practice. For within program supervisors, it is recommended that they complete a minimum of 4 prior cases and complete a within program trainer training.</t>
  </si>
  <si>
    <t>John Paul Abner, JPAbner@milligan.edu</t>
  </si>
  <si>
    <t>Well Supported </t>
  </si>
  <si>
    <t>Alaska, Colorado, Kansas, Kentucky, Maryland, Nebraska, North Dakota, Utah, Virginia</t>
  </si>
  <si>
    <t xml:space="preserve">Parents as Teachers is an evidence-based home-visiting parent education model that supports families with children prenatal through kindergarten to develop positive parenting skills. </t>
  </si>
  <si>
    <t>Families with an expectant mother or parents of children up to kindergarten entry (usually 5 years). An agency may choose to use the Parents as Teachers model to focus services primarily on pregnant women and families with children from birth to age 3 or through kindergarten.</t>
  </si>
  <si>
    <t xml:space="preserve">•	Increase parent knowledge of early childhood development and improve parenting practices
•	Provide early detection of developmental delays and health issues
•	Prevent child abuse and neglect
•	Increase children's school readiness and school success
</t>
  </si>
  <si>
    <t xml:space="preserve">At least 12 home visits annually to families with one or no stressors. At least 24 home visits annually to families with two or more stressors. In some cases, visit frequency may be gradually decreased as the family transitions out and into other services. Home visits last approximately 60-90 minutes, if there are multiple children that are receiving PAT services in the home. At least 12 group connections (or meetings) annually. Annual screening of children for developmental, health, hearing, and vision problems. 
</t>
  </si>
  <si>
    <t>Programs are designed to provide at least two years of service to families with children prenatal to kindergarten.</t>
  </si>
  <si>
    <t>Supervisor to Parent Educator 12:1 (maximum).</t>
  </si>
  <si>
    <t xml:space="preserve">Parent Educators: The minimum qualification is a high school diploma or equivalency and two years' previous supervised work experience with young children and/or parents. Supervisors: The minimum qualification is a bachelor's degree or beyond in early childhood education, social work, health, psychology, or a related field. The supervisor should also have at least 5 years experience working with families and young children. </t>
  </si>
  <si>
    <t>Parents Educators visits per month (optimal) 40:1 in first year, 50:1 in second year.</t>
  </si>
  <si>
    <t>Parent Educators must complete the five day Foundational and Model Implementation Training prior to delivering PAT services.  Parent Educators who plan to see children ages 3-5 must complete two day Foundational 2 training as well.</t>
  </si>
  <si>
    <t>Latonya Hicks, Implementation Support Specialist: Latonya.Hicks@parentsasteachers.org</t>
  </si>
  <si>
    <t xml:space="preserve">Alaska, Colorado, Illinois, Kansas, Maine, Nebraska, North Dakota, Ohio, Oregon, Utah, Virginia, Washington DC, Washington, West Virginia </t>
  </si>
  <si>
    <t xml:space="preserve">SafeCare is an in-home parent training program that targets risk factors for child neglect and physical abuse in which parents are taught skills in three module areas: (1) how to interact in a positive manner with their children, to plan activities, and respond appropriately to challenging child behaviors, (2) to recognize hazards in the home in order to improve the home environment, and (3) to recognize and respond to symptoms of illness and injury, in addition to keeping good health records. 
</t>
  </si>
  <si>
    <t>Parents at-risk for child neglect and/or abuse and parents with a history of child neglect and/or abuse, for parents/caregivers of children ages 0-5.</t>
  </si>
  <si>
    <t xml:space="preserve">•	Reduce future incidents of child maltreatment
•	Increase positive parent-child interaction
•	Improve how parents care for their children's health
•	Enhance home safety and parent supervision
</t>
  </si>
  <si>
    <t>Weekly sessions of approximately 1-1.5 hours each.</t>
  </si>
  <si>
    <t>18-20 weeks</t>
  </si>
  <si>
    <t xml:space="preserve">On an established team, 1 Coach on average supports 12 Providers (Can range from 2-20 Providers to 1 Coach). Coaches must be connected to the same licensing agreement but they do not necessarily belong to the same agency. </t>
  </si>
  <si>
    <t>A Bachelor’s degree in human services is preferable [less education is acceptable with work experience in child development and parenting]. Also, staff should be comfortable delivering interventions to families in the home setting, open to learning and implementing new curricula or intervention programs, open to or has prior experience in delivering a highly structured intervention protocol, understands the importance of program fidelity, and open and responsive to coaching and constructive feedback.</t>
  </si>
  <si>
    <t>Full-time Providers on average serve 12-25 families (if only implementing SafeCare).</t>
  </si>
  <si>
    <t>To become a SafeCare Provider, the required training is conducted over 32 hours during 4 consecutive days of workshop training, followed by observations of at least 9 sessions by a certified SafeCare Coach or Trainer. To become a SafeCare Coach, one needs to be a certified SafeCare Provider and attend an additional 16 hours of workshop training over 2 days, plus observations of at least six coaching sessions by a certified SafeCare Trainer. To become a SafeCare Trainer, one needs to be a certified SafeCare Coach and attend an additional 16 hours of workshop training over 2 days, plus a 4-5 day observation of a Provider Workshop.</t>
  </si>
  <si>
    <t xml:space="preserve"> JoAnne Bielecki jbielecki@gsu.edu</t>
  </si>
  <si>
    <t xml:space="preserve">Washington, New Mexico, Montana, Colorado, Oklahoma, Georgia, Arkansas, Utah </t>
  </si>
  <si>
    <t>Trauma-Focused Cognitive Behavioral Therapy (TF-CBT)</t>
  </si>
  <si>
    <t>Trauma-Focused Cognitive Behavioral Therapy (TF-CBT) is intended to treat children/adolescents who have post-traumatic stress disorder (PTSD) symptoms, dysfunctional feelings or thoughts, or behavioral problems. The intervention also supports caregivers in overcoming their personal distress, implementing effective parenting skills, and fostering positive interactions with their child/adolescent. After ensuring safety of the child/adolescent, TF-CBT is structured into three phases that include: 1) skill building for the child/adolescent’s self-regulation and the caregiver’s behavior management and supportive care abilities, 2) addressing the traumatic experience, and 3) joint therapy sessions between caregiver and child/adolescent.</t>
  </si>
  <si>
    <t>This program targets children/adolescents who have PTSD symptoms, dysfunctional feelings or thoughts, or behavioral problems. Caregivers are included in treatment as long as they did not perpetrate the trauma and child safety is maintained.</t>
  </si>
  <si>
    <t xml:space="preserve">•	Improving child PTSD, depressive and anxiety symptoms
•	Improving child externalizing behavior problems (including sexual behavior problems if related to trauma)
•	Improving parenting skills and parental support of the child, and reducing parental distress
•	Enhancing parent-child communication, attachment, and ability to maintain safety
•	Improving child's adaptive functioning
•	Reducing shame and embarrassment related to the traumatic experiences
</t>
  </si>
  <si>
    <t>TF-CBT sessions are scheduled about weekly until the end of treatment. Session length can range from 45 to 90 minutes, but typically last for one hour.</t>
  </si>
  <si>
    <t>TF-CBT is usually administered in 12 to 16 sessions. However, it can be delivered in as few as 8 sessions. Or, for particularly complex trauma, it can last for as many as 25 sessions. The average duration of services is about 16 weeks.</t>
  </si>
  <si>
    <t xml:space="preserve">Staffing ratio (supervisor to therapists) varies among organizations, but at least one hour of weekly TF-CBT –specific supervision (individual or group) is recommended to enable supervisors to supervise therapists specifically on their TF-CBT cases. Group supervision would typically be for no more than 4 therapists/supervisor to allow adequate staffing time for complicated cases. </t>
  </si>
  <si>
    <t>TF-CBT providers are licensed Master's or Doctoral level mental health professionals. Exceptions include: providers in a residential treatment facility, or students administering TF-CBT under supervision.</t>
  </si>
  <si>
    <t>A full-time therapist (40 hours/week) providing full time TF-CBT (i.e., with no other responsibilities for teaching, travel, etc.), would typically see 45 - 60 cases in a year, depending on the organization and their productivity requirements. A therapist will typically carry a caseload of 15 to 20 at any given time depending on the organization's requirements.</t>
  </si>
  <si>
    <t>In order to receive certification for TF-CBT, individuals must attend two consecutive days of training, complete three treatment cases, score at least 80% on a certification exam, and participate in follow-up supervisory consultation with trainers for 6-12 months. Supervisors need to attend TF-CBT training and consultation calls (and treat at least 1 TF-CBT treatment case during the calls), in order to provide appropriate TF-CBT supervision. (NOTE: often supervisors are no longer actively treating patients, but in order to be able to supervise complex cases, and to have credibility as a TF-CBT supervisor, it is required that they have treated at least one family using this model).</t>
  </si>
  <si>
    <t>Tony Mannarino; Anthony.Mannarino@ahn.org</t>
  </si>
  <si>
    <t>Mental Health (as rated by the Clearinghouse) the developer states that components of TF-CBT also includes parenting skills.</t>
  </si>
  <si>
    <t>Alaska, Illinois, Kentucky, Maine, Nebraska, Utah, and Virginia. Other states and jurisdictions plan to include TF-CBT in later versions of the prevention plan.</t>
  </si>
  <si>
    <t xml:space="preserve">Triple P - Positive Parenting Program - Standard (Level 4) </t>
  </si>
  <si>
    <t>For parents and caregives of children up to 12 years with concerns about their child's moderate to severe levels of behavioral problems.</t>
  </si>
  <si>
    <t>-Increase confidence and competence in promoting healthy development and managing common child behavioral/emotional problems and developmental issues
-Reduce use of coercive and punitive methods of disciplining children
-Increase use of positive parenting strategies in managing their children’s behavior
-Increase confidence in raising their children
-Decrease behavior problems in their children (for families experiencing difficult child behaviors)
-Improve partners’ communication about parenting issues
-Reduce stress associated with raising children</t>
  </si>
  <si>
    <t xml:space="preserve">Standard Triple P sessions are scheduled weekly for 10 weeks. Session lengths are scheduled for one hour. </t>
  </si>
  <si>
    <t xml:space="preserve">Standard Triple P is usually administered in 10 weeks (1-hour sessions). </t>
  </si>
  <si>
    <t>One practitioner per family</t>
  </si>
  <si>
    <t>Triple P Provider Training Courses are usually offered to practitioners with a post-high school degree in health, education, child care, or social services. However, para-professionals who actively work with families may be suitable for training (e.g. home health visitors and parent partners). These particular practitioners have developed, through their workplace experience, knowledge of child development and/or have experience working with families.</t>
  </si>
  <si>
    <t>This depends on the capacity of the practitioner. Triple P is designed to train an existing workforce to deliver this program to parents. The total time required to deliver the program is approximately 19 hours per family over the course of 10 weeks.
The expected average caseload when Standard Triple P is adopted as part of core business is 25 families per practitioner per year.</t>
  </si>
  <si>
    <t>Most commonly, training is provided onsite or remotely with an agency or organization hosting the training. However, Triple P America also hosts and provides trainings in an Open Enrollment format several times a year for agencies and organizations that do not have a large enough group for an agency-based training. Open Enrollment trainings are conducted in major cities around the U.S., depending on regional demand, and are posted on the Triple P America website.
For the forseeable future, Triple P Provider Training Courses will be available in person (where possible) or via video conference. The online training experience has been developed to keep it as close to the in-person experience as possible.
Standard Triple P Provider Training is three days for training, one full-day for preaccreditation, plus 1/2 day accreditation (per trainee) 6-8 weeks post-training. Both training and preaccreditation is conducted with a cohort of up to 20 attendees. The cohort is divided into smaller groups during the final accreditation procedures.</t>
  </si>
  <si>
    <t xml:space="preserve">
contact.us@triplep.net; (803) 451-2278</t>
  </si>
  <si>
    <t>Maine</t>
  </si>
  <si>
    <t>Triple P - Positive Parenting Program - Group (Level 4)</t>
  </si>
  <si>
    <t>For parents and caregives of children up to 12 years with concerns about their child's behaviour or those who wish to learn a variety of parenting skills to apply to multiple contexts.</t>
  </si>
  <si>
    <t>-Increase confidence and competence in promoting healthy development and managing common child behavioral/ emotional problems and developmental issues
-Reduce use of coercive and punitive methods of disciplining children
-Increase use of positive parenting strategies in managing their children’s behavior
-Increase confidence in raising their children
-Decrease behavior problems in their children (for families experiencing difficult child behaviors)
-Improve partners’ communication about parenting issues
-Reduce stress associated with raising children</t>
  </si>
  <si>
    <t>Group Triple P includes five 2-hour group sessions and three 15 to 30-minute individual telephone consultations for each family offered over eight consecutive weeks.</t>
  </si>
  <si>
    <t xml:space="preserve">Group Triple P includes five (2 hour) sessions and three (15 to 30 minute) consultations over eight consecutive weeks. </t>
  </si>
  <si>
    <t>One  practitioner per group of 10 families</t>
  </si>
  <si>
    <t>This depends on the capacity of the practitioner. Triple P is designed to train an existing workforce to deliver the program to parents. The total time required to deliver this program is approximately 40 hours per group of 10 families over the course of 8 weeks.
The expected average caseload when Group Triple P is adopted as part of core business is 30 families (3 groups of 10 families)  per practitioner per year.</t>
  </si>
  <si>
    <t>Most commonly training is provided onsite with an agency or organization hosting the training. However, Triple P America also hosts and provides trainings in an Open Enrollment format several times a year for agencies and organizations that do not have a large enough group for an agency-based training. Open Enrollment trainings are conducted in major cities around the U.S., depending on regional demand, and are posted on the Triple P America website.
For the forseeable future, Triple P Provider Training Courses will be available in person (where possible) or via video conference. The online training experience has been developed to keep it as close to the in-person experience as possible.
Group Triple P Provider Training is three days for training, one full-day for preaccreditation, plus 1/2 day accreditation (per trainee) 6-8 weeks post-training. Both training and preaccreditation is conducted with a cohort of up to 20 attendees. The cohort is divided into smaller groups during the final accreditation procedures.</t>
  </si>
  <si>
    <t>Triple P - Positive Parenting Program - Self-Directed (Level 4)</t>
  </si>
  <si>
    <t>For parents and caregives of children up to 12 years with concerns about their child's moderate to severe levels of behavioral problems. For parents or caregivers who live in rural or remote areas or want a self-help program without contact with a practitioner.</t>
  </si>
  <si>
    <t>Self-directed Triple P is a self-directed workbook, which is self-paced, with readings and exercises recommended to be completed across a 10-week period.</t>
  </si>
  <si>
    <t>Self-directed Triple P is self-paced.</t>
  </si>
  <si>
    <t xml:space="preserve">There is no pre-allocated practitioner support for Self-Directed Triple P. While parents access the workbook through an accredited provider, they work through the program in their own time. A practitioner is not required to deliver the intervention unless telephone support is to be provided to families completing Self-Directed Triple P.  Telephone support is an optional service that agencies can provide parents. </t>
  </si>
  <si>
    <t>Practitioners providing telephone support are required to be an accredited Triple P practitioner, but no further specific training is required to support parents through Self-Directed Triple P.</t>
  </si>
  <si>
    <t>N/A (The caseload recommendation for practitioners providing telephone consultations if required depends on the capacity of the practitioner.)</t>
  </si>
  <si>
    <t>Self-Directed Triple P does not have training requirements but practitioners providing telephone support are required to be an accredited Triple P practitioners.</t>
  </si>
  <si>
    <t>Triple P - Positive Parenting Program - Online (Level 4)</t>
  </si>
  <si>
    <t>For parents and caregivers of children up to 12 years who prefer an online program or are more suited to completing an online program for reasons such as busy schedules, geographical isolation, or inability to attend regular parenting courses. The program can be used to prevent problems from developing or for parents of children with significant social, emotional or behavioural problems.</t>
  </si>
  <si>
    <t xml:space="preserve">Triple P Online involves eight (1-hour) online modules that parents complete independently in their own time, from a computer, tablet or smartphone. Parents have online access to complete the program for 12 months. </t>
  </si>
  <si>
    <t>Triple P Online is self-paced. However, the recommended completion rate is one module per week.</t>
  </si>
  <si>
    <t xml:space="preserve">Practitioners providing telephone support are required to be an accredited Triple P practitioner, but no further specific training is required to support parents through Triple P Online. </t>
  </si>
  <si>
    <t>Triple P Online does not have training requirements but practitioners providing telephone support are required to be an accredited Triple P practitioners.</t>
  </si>
  <si>
    <t xml:space="preserve">    Family First Evidence-Based Practice Exploration &amp; Cost Tool</t>
  </si>
  <si>
    <t xml:space="preserve">    Assessing and Selecting EBPs</t>
  </si>
  <si>
    <t xml:space="preserve">
The following survey questions adapted from the National Research Implementation Network’s Hexagon tool (Metz &amp; Louison, 2018) poses important considerations to assist in the process of assessing and selecting an appropriate intervention.  For comprehensiveness, it is recommended that stakeholders gather information for each model in consideration across several domains, including: Fit, Evidence, Supports, and Capacity.  After reviewing the Model Overviews tab and estimating costs, use the tool below to assess and select one or more models. </t>
  </si>
  <si>
    <t xml:space="preserve">Domain </t>
  </si>
  <si>
    <t>Model A's Ratings</t>
  </si>
  <si>
    <t>Model B's Ratings</t>
  </si>
  <si>
    <t>Model C's Ratings</t>
  </si>
  <si>
    <t>Notes</t>
  </si>
  <si>
    <t>Fit</t>
  </si>
  <si>
    <t>Ratings
5 = Strong Fit.  The program or practice fits with the priorities of the implementing site; community values, including the values of culturally and linguistically specific populations; and other existing initiatives
4 = Fit.   The program or practice fits with the priorities of the implementing site and community values; however, the values of culturally and linguistically specific population have not been assessed for fit
3 = Somewhat Fit.   The program or practice fits with the priorities of the implementing site, but it is unclear whether it aligns with community values and other existing initiatives
2 = Minimal Fit.  The program or practice fits with some of the priorities of the implementing site, but it is unclear whether it aligns with community values and other existing initiatives
1 = Does Not Fit.  The program or practice does not fit with the priorities of the implementing site or community values</t>
  </si>
  <si>
    <r>
      <t>Does the intervention’s eligibility criteria align with your specific</t>
    </r>
    <r>
      <rPr>
        <u/>
        <sz val="11"/>
        <rFont val="Segoe UI"/>
        <family val="2"/>
      </rPr>
      <t xml:space="preserve"> target population</t>
    </r>
    <r>
      <rPr>
        <sz val="11"/>
        <rFont val="Segoe UI"/>
        <family val="2"/>
      </rPr>
      <t>?</t>
    </r>
  </si>
  <si>
    <r>
      <rPr>
        <sz val="7"/>
        <rFont val="Segoe UI"/>
        <family val="2"/>
      </rPr>
      <t xml:space="preserve"> </t>
    </r>
    <r>
      <rPr>
        <sz val="11"/>
        <rFont val="Segoe UI"/>
        <family val="2"/>
      </rPr>
      <t xml:space="preserve">Does the intervention’s goals and intended outcomes address the </t>
    </r>
    <r>
      <rPr>
        <u/>
        <sz val="11"/>
        <rFont val="Segoe UI"/>
        <family val="2"/>
      </rPr>
      <t>root causes and needs</t>
    </r>
    <r>
      <rPr>
        <sz val="11"/>
        <rFont val="Segoe UI"/>
        <family val="2"/>
      </rPr>
      <t xml:space="preserve"> of your target population? </t>
    </r>
  </si>
  <si>
    <r>
      <t xml:space="preserve">How does the intervention fit with the </t>
    </r>
    <r>
      <rPr>
        <u/>
        <sz val="11"/>
        <rFont val="Segoe UI"/>
        <family val="2"/>
      </rPr>
      <t>current policies, procedures, or contracting relationships</t>
    </r>
    <r>
      <rPr>
        <sz val="11"/>
        <rFont val="Segoe UI"/>
        <family val="2"/>
      </rPr>
      <t>?</t>
    </r>
  </si>
  <si>
    <r>
      <t xml:space="preserve">How likely are the implementation of the intervention and the desired outcomes to be </t>
    </r>
    <r>
      <rPr>
        <u/>
        <sz val="11"/>
        <rFont val="Segoe UI"/>
        <family val="2"/>
      </rPr>
      <t>enhanced or diminished by other current initiatives or interventions</t>
    </r>
    <r>
      <rPr>
        <sz val="11"/>
        <rFont val="Segoe UI"/>
        <family val="2"/>
      </rPr>
      <t xml:space="preserve">? </t>
    </r>
  </si>
  <si>
    <t>Is this service covered by your state’s Medicaid plan?  If so, identify any concerns with including it in your Family First service array given the payor of last resort requirement.  (Use Notes Columns to document for each interventon)</t>
  </si>
  <si>
    <t>Evidence</t>
  </si>
  <si>
    <t>Ratings
5 = High Evidence. The program or practice has documented evidence of effectiveness based on at least two rigorous, external research studies, and has demonstrated sustained effects at least one year post treatment 
4 = Evidence.  The program or practice has demonstrated effectiveness with one rigorous research study 
3 = Some Evidence.  The program or practice shows some evidence of effectiveness through less rigorous research studies 
2 = Minimal Evidence.  The program or practice is guided by a well- developed theory of change or logic model, including clear inclusion and exclusion criteria for the target population,but has not demonstrated effectiveness through a research study 
1 = No Evidence.   The program or practice does not have a well-developed logic model or theory of change and has not demonstrated effectiveness through a research study</t>
  </si>
  <si>
    <r>
      <t xml:space="preserve">What is the </t>
    </r>
    <r>
      <rPr>
        <u/>
        <sz val="11"/>
        <rFont val="Segoe UI"/>
        <family val="2"/>
      </rPr>
      <t>strength of the evidence</t>
    </r>
    <r>
      <rPr>
        <sz val="11"/>
        <rFont val="Segoe UI"/>
        <family val="2"/>
      </rPr>
      <t>?  If an existing evidence rating has not yet been published through the IV-E Clearinghouse, consider other sources such as the California Evidence-Based Clearinghouse (CEBC) or individual reports or publications.</t>
    </r>
  </si>
  <si>
    <r>
      <t xml:space="preserve">Has the program or practice been researched or evaluated in a </t>
    </r>
    <r>
      <rPr>
        <u/>
        <sz val="11"/>
        <rFont val="Segoe UI"/>
        <family val="2"/>
      </rPr>
      <t>similar context</t>
    </r>
    <r>
      <rPr>
        <sz val="11"/>
        <rFont val="Segoe UI"/>
        <family val="2"/>
      </rPr>
      <t xml:space="preserve"> to which you plan to implement the program?</t>
    </r>
  </si>
  <si>
    <r>
      <t xml:space="preserve">Does the existing evidence provide data specific to effectiveness for </t>
    </r>
    <r>
      <rPr>
        <u/>
        <sz val="11"/>
        <rFont val="Segoe UI"/>
        <family val="2"/>
      </rPr>
      <t>culturally and linguistically specific populations</t>
    </r>
    <r>
      <rPr>
        <sz val="11"/>
        <rFont val="Segoe UI"/>
        <family val="2"/>
      </rPr>
      <t xml:space="preserve">? </t>
    </r>
  </si>
  <si>
    <t>Supports</t>
  </si>
  <si>
    <t>Ratings
5 = Well Supported.  Comprehensive resources are available from an expert (a program developer or intermediary) to support implementation, including resources for building the competency of staff (staff selection, training, coaching, fidelity) and organizational practice (data system and use support, policies and procedures, stakeholder and partner engagement.) 
4 = Supported.  Some resources are available to support implementation, such as resources to support staff competency but not organizational practice
3 = Somewhat Supported.  Limited resources are available, such as a curriculum available for purchase
2 = Minimally Supported.  General guidance provided but no specific resources, such as a suggestion to use strengths based approaches with staff
1 = Not Supported.  Few to no resources to support implementation</t>
  </si>
  <si>
    <r>
      <t xml:space="preserve">Are the developers of the intervention available to support effective implementation, and does the implementing agency have the </t>
    </r>
    <r>
      <rPr>
        <u/>
        <sz val="11"/>
        <rFont val="Segoe UI"/>
        <family val="2"/>
      </rPr>
      <t>resources to contract with the developers</t>
    </r>
    <r>
      <rPr>
        <sz val="11"/>
        <rFont val="Segoe UI"/>
        <family val="2"/>
      </rPr>
      <t xml:space="preserve">? </t>
    </r>
  </si>
  <si>
    <r>
      <rPr>
        <sz val="7"/>
        <rFont val="Segoe UI"/>
        <family val="2"/>
      </rPr>
      <t xml:space="preserve"> </t>
    </r>
    <r>
      <rPr>
        <sz val="11"/>
        <rFont val="Segoe UI"/>
        <family val="2"/>
      </rPr>
      <t>Are practice or</t>
    </r>
    <r>
      <rPr>
        <u/>
        <sz val="11"/>
        <rFont val="Segoe UI"/>
        <family val="2"/>
      </rPr>
      <t xml:space="preserve"> program manuals, training and coaching manuals, fidelity criteria, and assessment systems ready for implementation</t>
    </r>
    <r>
      <rPr>
        <sz val="11"/>
        <rFont val="Segoe UI"/>
        <family val="2"/>
      </rPr>
      <t xml:space="preserve">, or will these require adaptation? </t>
    </r>
  </si>
  <si>
    <r>
      <t xml:space="preserve">Are </t>
    </r>
    <r>
      <rPr>
        <u/>
        <sz val="11"/>
        <rFont val="Segoe UI"/>
        <family val="2"/>
      </rPr>
      <t>sample job descriptions and interview protocols</t>
    </r>
    <r>
      <rPr>
        <sz val="11"/>
        <rFont val="Segoe UI"/>
        <family val="2"/>
      </rPr>
      <t xml:space="preserve"> available for hiring or selecting new staff for this practice? If so, identify here and any costs associated. </t>
    </r>
  </si>
  <si>
    <r>
      <t xml:space="preserve">Is </t>
    </r>
    <r>
      <rPr>
        <u/>
        <sz val="11"/>
        <rFont val="Segoe UI"/>
        <family val="2"/>
      </rPr>
      <t>guidance on administrative policies and procedures</t>
    </r>
    <r>
      <rPr>
        <sz val="11"/>
        <rFont val="Segoe UI"/>
        <family val="2"/>
      </rPr>
      <t xml:space="preserve"> available? If so, identify resources and any costs associated. </t>
    </r>
  </si>
  <si>
    <r>
      <t xml:space="preserve">Are there </t>
    </r>
    <r>
      <rPr>
        <u/>
        <sz val="11"/>
        <rFont val="Segoe UI"/>
        <family val="2"/>
      </rPr>
      <t>resources to develop a data management plan</t>
    </r>
    <r>
      <rPr>
        <sz val="11"/>
        <rFont val="Segoe UI"/>
        <family val="2"/>
      </rPr>
      <t xml:space="preserve"> for this program or practice (including data system and monitoring tools) available? If so, identify resources and any costs associated.</t>
    </r>
  </si>
  <si>
    <r>
      <t xml:space="preserve">Did you conduct an interview with the </t>
    </r>
    <r>
      <rPr>
        <u/>
        <sz val="11"/>
        <rFont val="Segoe UI"/>
        <family val="2"/>
      </rPr>
      <t>intervention developer</t>
    </r>
    <r>
      <rPr>
        <sz val="11"/>
        <rFont val="Segoe UI"/>
        <family val="2"/>
      </rPr>
      <t>?  (Use Notes Columns to document for each interventon)</t>
    </r>
  </si>
  <si>
    <r>
      <t xml:space="preserve">Did you talk with </t>
    </r>
    <r>
      <rPr>
        <u/>
        <sz val="11"/>
        <rFont val="Segoe UI"/>
        <family val="2"/>
      </rPr>
      <t xml:space="preserve">other sites </t>
    </r>
    <r>
      <rPr>
        <sz val="11"/>
        <rFont val="Segoe UI"/>
        <family val="2"/>
      </rPr>
      <t>who have implemented the intervention?  (Use Notes Columns to document for each interventon)</t>
    </r>
  </si>
  <si>
    <t>Capacity</t>
  </si>
  <si>
    <t xml:space="preserve">Ratings
5 = Strong Capacity.  The implementing site adopting this program or practice has all of the capacity necessary, including all of the following: a qualified workforce, financial supports, technology supports and administrative supports required to implement and sustain the program or practice with integrity.
4 = Adequate Capacity.  The implementing site adopting this program or practice has most of the capacity necessary, including three of the following: a qualified workforce, financial supports, technology supports and administrative supports required to implement and sustain the program or practice with integrity.
3 = Some Capacity.  The implementing site adopting this program or practice has some of the capacity necessary, including two of the following: a qualified workforce, financial supports, technology supports and administrative supports required to implement and sustain the program or practice with integrity.
2 = Minimal Capacity.  The implementing site adopting the program or practice has minimal capacity necessary, including only one of the following: a qualified workforce, financial supports, technology supports or administrative supports required to implement and sustain the program or practice with integrity.
1 = No Capacity.  The implementing site adopting this program or practice does not have the capacity necessary, including any of the following: qualified workforce, financial supports, technology supports or administrative supports required to implement and sustain the program or practice with integrity.
</t>
  </si>
  <si>
    <r>
      <t xml:space="preserve">Typically, how much does it </t>
    </r>
    <r>
      <rPr>
        <u/>
        <sz val="11"/>
        <rFont val="Segoe UI"/>
        <family val="2"/>
      </rPr>
      <t>cost</t>
    </r>
    <r>
      <rPr>
        <sz val="11"/>
        <rFont val="Segoe UI"/>
        <family val="2"/>
      </rPr>
      <t xml:space="preserve"> to run the program or practice each year? (Use Notes Columns to document for each interventon)</t>
    </r>
  </si>
  <si>
    <r>
      <t xml:space="preserve">What data is available on the </t>
    </r>
    <r>
      <rPr>
        <u/>
        <sz val="11"/>
        <rFont val="Segoe UI"/>
        <family val="2"/>
      </rPr>
      <t>average cost per year per child/family</t>
    </r>
    <r>
      <rPr>
        <sz val="11"/>
        <rFont val="Segoe UI"/>
        <family val="2"/>
      </rPr>
      <t xml:space="preserve">? </t>
    </r>
  </si>
  <si>
    <r>
      <t xml:space="preserve">Does your organization have the </t>
    </r>
    <r>
      <rPr>
        <u/>
        <sz val="11"/>
        <rFont val="Segoe UI"/>
        <family val="2"/>
      </rPr>
      <t>resources to support this cost</t>
    </r>
    <r>
      <rPr>
        <sz val="11"/>
        <rFont val="Segoe UI"/>
        <family val="2"/>
      </rPr>
      <t>?</t>
    </r>
  </si>
  <si>
    <r>
      <t xml:space="preserve">Based on the information supplied in the Models Overview tab, do the implementing sites </t>
    </r>
    <r>
      <rPr>
        <u/>
        <sz val="11"/>
        <rFont val="Segoe UI"/>
        <family val="2"/>
      </rPr>
      <t xml:space="preserve">currently employ or have access to staff to meet all these requirements </t>
    </r>
    <r>
      <rPr>
        <sz val="11"/>
        <rFont val="Segoe UI"/>
        <family val="2"/>
      </rPr>
      <t>for the program or practice? (number and type of staff, e.g., education, credentials, content knowledge)</t>
    </r>
  </si>
  <si>
    <r>
      <t xml:space="preserve">Based on the information supplied in the Models Overview tab, will the implementing sites have the capacity to meet the </t>
    </r>
    <r>
      <rPr>
        <u/>
        <sz val="11"/>
        <rFont val="Segoe UI"/>
        <family val="2"/>
      </rPr>
      <t>initial and ongoing training and coaching requirements</t>
    </r>
    <r>
      <rPr>
        <sz val="11"/>
        <rFont val="Segoe UI"/>
        <family val="2"/>
      </rPr>
      <t xml:space="preserve">? </t>
    </r>
  </si>
  <si>
    <r>
      <t xml:space="preserve">Do staff have the capacity to </t>
    </r>
    <r>
      <rPr>
        <u/>
        <sz val="11"/>
        <rFont val="Segoe UI"/>
        <family val="2"/>
      </rPr>
      <t>collect and use data</t>
    </r>
    <r>
      <rPr>
        <sz val="11"/>
        <rFont val="Segoe UI"/>
        <family val="2"/>
      </rPr>
      <t xml:space="preserve"> to inform ongoing monitoring and improvement of the program or practice? </t>
    </r>
  </si>
  <si>
    <r>
      <t xml:space="preserve">Does the program or practice require </t>
    </r>
    <r>
      <rPr>
        <u/>
        <sz val="11"/>
        <rFont val="Segoe UI"/>
        <family val="2"/>
      </rPr>
      <t>new technology</t>
    </r>
    <r>
      <rPr>
        <sz val="11"/>
        <rFont val="Segoe UI"/>
        <family val="2"/>
      </rPr>
      <t xml:space="preserve"> (hardware or software, such as a data system)? Use notes section to explain. List required hardware and/or software. Include costs if known.</t>
    </r>
  </si>
  <si>
    <r>
      <t xml:space="preserve">Does the program or practice require use of or changes to the </t>
    </r>
    <r>
      <rPr>
        <u/>
        <sz val="11"/>
        <rFont val="Segoe UI"/>
        <family val="2"/>
      </rPr>
      <t>monitoring and reporting system</t>
    </r>
    <r>
      <rPr>
        <sz val="11"/>
        <rFont val="Segoe UI"/>
        <family val="2"/>
      </rPr>
      <t>? (Use Notes column to explain. List required uses of and/or changes. Include costs if known)</t>
    </r>
  </si>
  <si>
    <r>
      <t xml:space="preserve">Does your agency have the capacity to </t>
    </r>
    <r>
      <rPr>
        <u/>
        <sz val="11"/>
        <rFont val="Segoe UI"/>
        <family val="2"/>
      </rPr>
      <t xml:space="preserve">sustain </t>
    </r>
    <r>
      <rPr>
        <sz val="11"/>
        <rFont val="Segoe UI"/>
        <family val="2"/>
      </rPr>
      <t>the intervention?</t>
    </r>
  </si>
  <si>
    <t>CITATION: Metz, A., &amp; Louison, L. (2018). The hexagon tool: Exploring context. Chapel Hill, NC: National Implementation Research Network, Frank Porter Graham Child Development Institute, University of North Carolina at Chapel Hill. Retrieved on 2/9/2021 from: https://nirn.fpg.unc.edu/sites/nirn.fpg.unc.edu/files/imce/documents/NIRN%20Hexagon%20Discussion%20Analysis%20Tool_September2020_1.pdf</t>
  </si>
  <si>
    <t>Family First Evidence-Based Practice 
Exploration &amp; Cost Tool</t>
  </si>
  <si>
    <t xml:space="preserve">  Brief Strategic Family Therapy (BSFT)</t>
  </si>
  <si>
    <t>Enter your jurisdiction, agency or provider specific information in the yellow boxes. Staff salary, FTE and fringe are placeholders and will vary based by region. Please consider salary ranges for your provider staff in your area for similar programs.</t>
  </si>
  <si>
    <t>Number of anticipated provider agencies:</t>
  </si>
  <si>
    <t xml:space="preserve">Number of anticipated teams across agencies: </t>
  </si>
  <si>
    <t>Caseload size by cohort</t>
  </si>
  <si>
    <t>Average duration of services in weeks</t>
  </si>
  <si>
    <t>Total number of cases served in a year</t>
  </si>
  <si>
    <t>Total number of staff</t>
  </si>
  <si>
    <t>Will site(s) pursue optional Site Supervisor (BCS)? (Y/N response)</t>
  </si>
  <si>
    <t>Y</t>
  </si>
  <si>
    <t>Clinical Supervisors</t>
  </si>
  <si>
    <t>Therapists</t>
  </si>
  <si>
    <t>Team Staffing Ratio:</t>
  </si>
  <si>
    <t>Number of staff based on teams:</t>
  </si>
  <si>
    <t>Yearly salary:</t>
  </si>
  <si>
    <t>Percent of Time:</t>
  </si>
  <si>
    <t>Fringe Benefits:</t>
  </si>
  <si>
    <t>Mileage reimbursement Rate:</t>
  </si>
  <si>
    <t>Expected mileage per month per team:</t>
  </si>
  <si>
    <t xml:space="preserve">Staff Telecommunications by agency: </t>
  </si>
  <si>
    <t xml:space="preserve">Staff Office Supplies &amp; Utilities by agency: </t>
  </si>
  <si>
    <t xml:space="preserve">Staff Occupancy (Rent &amp; Taxes) by agency: </t>
  </si>
  <si>
    <t xml:space="preserve">Initial Implementation Program Costs </t>
  </si>
  <si>
    <t>Year 1</t>
  </si>
  <si>
    <t>Year 2</t>
  </si>
  <si>
    <t>Year 3+</t>
  </si>
  <si>
    <t>Fixed Expenses</t>
  </si>
  <si>
    <t xml:space="preserve">Full Compentency Onsite Training </t>
  </si>
  <si>
    <t>Initial 4-day Trainee Workshop</t>
  </si>
  <si>
    <t>Weekly Supervision Praticum</t>
  </si>
  <si>
    <t>$7200 per pair of clinicians</t>
  </si>
  <si>
    <t>Concluding 2-day Trainee Workshop</t>
  </si>
  <si>
    <t>Initial 1-day Organizational Site Readiness Workshop</t>
  </si>
  <si>
    <t xml:space="preserve">Full Competency Online Training </t>
  </si>
  <si>
    <t>Initial Trainee Workshop</t>
  </si>
  <si>
    <t>Concluding Trainee Workshop</t>
  </si>
  <si>
    <t>Initial Organizational Site Readiness Workshop</t>
  </si>
  <si>
    <t>Annual Fees</t>
  </si>
  <si>
    <t>Site Licensing</t>
  </si>
  <si>
    <t>Supervision Adherence - Fidelity</t>
  </si>
  <si>
    <t>Total</t>
  </si>
  <si>
    <t>Variable Expenses</t>
  </si>
  <si>
    <t/>
  </si>
  <si>
    <t>Staffing &amp; Benefits</t>
  </si>
  <si>
    <t>Salary for Direct Staff</t>
  </si>
  <si>
    <t>Salary for Supervisor</t>
  </si>
  <si>
    <t>Fringe Benefits</t>
  </si>
  <si>
    <t>Other</t>
  </si>
  <si>
    <t>Subscription to Shared Drive</t>
  </si>
  <si>
    <t>Mileage</t>
  </si>
  <si>
    <t xml:space="preserve">Outcome Measurement Tool </t>
  </si>
  <si>
    <t>Video Camera</t>
  </si>
  <si>
    <t xml:space="preserve">Staff Telecommunications </t>
  </si>
  <si>
    <t>Staff Office Supplies &amp; Utilities</t>
  </si>
  <si>
    <t>Staff Occupancy (Rent &amp; Taxes)</t>
  </si>
  <si>
    <t>Total Direct Costs</t>
  </si>
  <si>
    <t>Indirect Expenses</t>
  </si>
  <si>
    <t>Indirect Costs</t>
  </si>
  <si>
    <t>Administration estimated at 10%</t>
  </si>
  <si>
    <t>Placeholder line excludes Occupancy. Use the formula to input your jusidiction's indirect rate.</t>
  </si>
  <si>
    <t>Total Indirect Costs</t>
  </si>
  <si>
    <t>Total Program Costs</t>
  </si>
  <si>
    <t>Total Cost per Family</t>
  </si>
  <si>
    <r>
      <t>Cost-Related Resources from the Developer</t>
    </r>
    <r>
      <rPr>
        <sz val="11"/>
        <rFont val="Segoe UI"/>
        <family val="2"/>
        <scheme val="minor"/>
      </rPr>
      <t>:</t>
    </r>
    <r>
      <rPr>
        <b/>
        <sz val="11"/>
        <rFont val="Segoe UI"/>
        <family val="2"/>
        <scheme val="minor"/>
      </rPr>
      <t xml:space="preserve"> </t>
    </r>
  </si>
  <si>
    <t xml:space="preserve">BSFT -All training Pathways </t>
  </si>
  <si>
    <t>BSFT Fact sheets-2020</t>
  </si>
  <si>
    <t>Training Implementation Process TIP</t>
  </si>
  <si>
    <t>Trauma-focused &amp; BSFT</t>
  </si>
  <si>
    <t>Which Kids &amp; families Are best served by BSFT</t>
  </si>
  <si>
    <r>
      <t>Developer Contact</t>
    </r>
    <r>
      <rPr>
        <sz val="11"/>
        <rFont val="Segoe UI"/>
        <family val="2"/>
        <scheme val="minor"/>
      </rPr>
      <t>: Olga Hervis, ohervis@bsft-av.com; and Lisa Bokalders, lbokalders@bsft-av.com</t>
    </r>
  </si>
  <si>
    <t>Benefit-Cost Analysis</t>
  </si>
  <si>
    <t xml:space="preserve">The Washington State Institute for Public Policy benefit-cost model estimates the dollar value of offering a program—a defined set of government efforts—to an additional person. The WSIPP benefit-cost model does this by valuing changes in outcomes (e.g. crime, depression, test scores) produced by programs and comparing them to the costs of providing those programs. </t>
  </si>
  <si>
    <t xml:space="preserve">BSFT Benefit-Cost Summary </t>
  </si>
  <si>
    <t xml:space="preserve">Benefits minus costs: $2,206 </t>
  </si>
  <si>
    <t>Benefit to cost ratio: $2.25</t>
  </si>
  <si>
    <t xml:space="preserve">Chance the program will produce benefits greater than the costs: 58%	</t>
  </si>
  <si>
    <t>Click here for more on WSIPP's BSFT Benefit-Cost Analysis</t>
  </si>
  <si>
    <t xml:space="preserve">  Child First</t>
  </si>
  <si>
    <t>Number of anticipated teams:</t>
  </si>
  <si>
    <t>Caseload size by team</t>
  </si>
  <si>
    <t>Total Number of Cases Served in a year:</t>
  </si>
  <si>
    <t>Total Number of Staff:</t>
  </si>
  <si>
    <t>Mileage Reimbursement Rate:</t>
  </si>
  <si>
    <t>Expected Mileage per Month per Team:</t>
  </si>
  <si>
    <t>Direct Service: Clinicians</t>
  </si>
  <si>
    <t>Direct Service: Care Coordinators</t>
  </si>
  <si>
    <t>Program requirement for agency team staffing ratio:</t>
  </si>
  <si>
    <t>included below</t>
  </si>
  <si>
    <t>Staff office supplies &amp; utilities by agency:</t>
  </si>
  <si>
    <t>Staff occupancy (rent &amp; taxes) by agency:</t>
  </si>
  <si>
    <t>Initial Implementation Program Costs</t>
  </si>
  <si>
    <t>Year 2 - 5</t>
  </si>
  <si>
    <t>Initial One-Time Cost</t>
  </si>
  <si>
    <t xml:space="preserve">Training/Start Up Fee </t>
  </si>
  <si>
    <t>See notes further below.</t>
  </si>
  <si>
    <t>Office and Tech Set-Up</t>
  </si>
  <si>
    <t>$1500 per staff</t>
  </si>
  <si>
    <t xml:space="preserve">Fees per Team </t>
  </si>
  <si>
    <t>$15,000 per team</t>
  </si>
  <si>
    <t>Salary for Direct Staff: Clinicians</t>
  </si>
  <si>
    <t>Salary for Direct Staff: Care Coordinators</t>
  </si>
  <si>
    <t>Mileage calculated by team</t>
  </si>
  <si>
    <t>Supplies</t>
  </si>
  <si>
    <t>$300 yr 1; $150 yr thereafter per team</t>
  </si>
  <si>
    <t>Assessments</t>
  </si>
  <si>
    <t>1,000/team yr 1 ; $500/team yr thereafter</t>
  </si>
  <si>
    <t>Telecommunications</t>
  </si>
  <si>
    <t>$30/mo subsidy for each person</t>
  </si>
  <si>
    <t xml:space="preserve">Total Cost per Family </t>
  </si>
  <si>
    <t xml:space="preserve">Cost-Related Notes from the Developer: </t>
  </si>
  <si>
    <t>Start-up Training Fee</t>
  </si>
  <si>
    <t xml:space="preserve">Child First Start-up Training Fee has a fixed cost of $160,000. </t>
  </si>
  <si>
    <r>
      <rPr>
        <b/>
        <i/>
        <sz val="10"/>
        <color theme="1" tint="0.34998626667073579"/>
        <rFont val="Segoe UI"/>
        <family val="2"/>
      </rPr>
      <t>Provided to a minimum of 16 teams</t>
    </r>
    <r>
      <rPr>
        <sz val="10"/>
        <color theme="1" tint="0.34998626667073579"/>
        <rFont val="Segoe UI"/>
        <family val="2"/>
      </rPr>
      <t>/usually 4 agencies together;  
may accommodate up to 32 teams at no additional cost</t>
    </r>
  </si>
  <si>
    <t>For Agency with 4 teams = $60,000</t>
  </si>
  <si>
    <t>Child First works with replication community to find a source to pay fee</t>
  </si>
  <si>
    <t>INCLUDES:</t>
  </si>
  <si>
    <t>Clinical Supervisor Training</t>
  </si>
  <si>
    <t>Reflective Clinical Consultation with Child First State Clinical Lead -</t>
  </si>
  <si>
    <t>Distance Learning Platform (ongoing access)</t>
  </si>
  <si>
    <t xml:space="preserve">    biweekly, ongoing for Clinical Supervisor</t>
  </si>
  <si>
    <t>Child First 4 Session Learning Collaborative (over 7 months) - with CEUs</t>
  </si>
  <si>
    <t>Monthly Clinical Supervisor Network Meetings</t>
  </si>
  <si>
    <t xml:space="preserve">   (includes Abecedarian training for Care Coordinators)</t>
  </si>
  <si>
    <t>Distance Learning Platform (ongoing access to new trainings)</t>
  </si>
  <si>
    <t xml:space="preserve">Intensive Reflective Clinical Consultation from State Clinical Lead - </t>
  </si>
  <si>
    <t xml:space="preserve">Staff Accelerated Training (STAT) for new staff </t>
  </si>
  <si>
    <t xml:space="preserve">   weekly for 9-12 months</t>
  </si>
  <si>
    <t xml:space="preserve">    (accelerated Learning Collaborative curriculum)</t>
  </si>
  <si>
    <t>Training &amp; Set-up in Child First Clinical Record system (CFCR)</t>
  </si>
  <si>
    <t>Specialty trainings and conferences, when provided</t>
  </si>
  <si>
    <t>Child-Parent Psychotherapy (CPP) Training &amp; Consultation (18 months)</t>
  </si>
  <si>
    <t>User Fees &amp; Technical Support for Child First Clinical Record (CFCR)</t>
  </si>
  <si>
    <t>DC:0-5 Training</t>
  </si>
  <si>
    <t xml:space="preserve">Continuous Quality Improvement with Monthly Data Analysis &amp; Reports </t>
  </si>
  <si>
    <t>Circle of Security Training</t>
  </si>
  <si>
    <t xml:space="preserve">Accreditation </t>
  </si>
  <si>
    <t>Resource library of foundational readings</t>
  </si>
  <si>
    <t>Ongoing technical assistance</t>
  </si>
  <si>
    <t>First year supply of assessments</t>
  </si>
  <si>
    <r>
      <rPr>
        <b/>
        <sz val="11"/>
        <color theme="1"/>
        <rFont val="Segoe UI"/>
        <family val="2"/>
      </rPr>
      <t>Developer Contact</t>
    </r>
    <r>
      <rPr>
        <sz val="11"/>
        <color theme="1"/>
        <rFont val="Segoe UI"/>
        <family val="2"/>
      </rPr>
      <t>:</t>
    </r>
    <r>
      <rPr>
        <sz val="11"/>
        <color theme="1" tint="0.499984740745262"/>
        <rFont val="Segoe UI"/>
        <family val="2"/>
      </rPr>
      <t xml:space="preserve"> Mary Peniston, mpeniston@childfirst.org</t>
    </r>
  </si>
  <si>
    <t xml:space="preserve">  Child-Parent Psychotherapy (CPP)</t>
  </si>
  <si>
    <t>Average caseload for a therapist</t>
  </si>
  <si>
    <t>Total number of cases served in a year:</t>
  </si>
  <si>
    <t>Supervisors</t>
  </si>
  <si>
    <t>Expected Mileage per Month per Staff:</t>
  </si>
  <si>
    <t>Fixed Expenses - Required</t>
  </si>
  <si>
    <t xml:space="preserve">Learning Session 1 </t>
  </si>
  <si>
    <t>Minimum of 3 days @ $3,000 per day; Maximum of 15 people</t>
  </si>
  <si>
    <t>Learning Session 2</t>
  </si>
  <si>
    <t>Minimum of 2 days @ $3,000 per day; Maximum of 15 people</t>
  </si>
  <si>
    <t>Learning Session 3</t>
  </si>
  <si>
    <t>Consultation calls</t>
  </si>
  <si>
    <t>18 months of calls, with two calls per month for a total of 36 calls. Estimates 15 people or less per call</t>
  </si>
  <si>
    <t>Books or manuals</t>
  </si>
  <si>
    <t>Travel costs for trainers</t>
  </si>
  <si>
    <t>Any actual costs associated with trainer travel to site including flight, hotel, ground transportation and meals</t>
  </si>
  <si>
    <t>Fixed Expenses - Not Required</t>
  </si>
  <si>
    <t>Toys and books for treatment (optional)</t>
  </si>
  <si>
    <t>Support during pre-work phase (optional)</t>
  </si>
  <si>
    <t>Cost = # hours negotiated with trainer x hourly rate</t>
  </si>
  <si>
    <t>Supervisor training call (optional)</t>
  </si>
  <si>
    <t>Senior Leader Call (optional)</t>
  </si>
  <si>
    <t>Cost = hourly rate x expected hours (minimum 2 hours)</t>
  </si>
  <si>
    <t>Foundational Trainings (optional)</t>
  </si>
  <si>
    <t>Cost = Day rate x number of days</t>
  </si>
  <si>
    <t>Total Direct Training Costs</t>
  </si>
  <si>
    <t>Salary for Supervisor(s)</t>
  </si>
  <si>
    <t>Staff Transportation</t>
  </si>
  <si>
    <t>Total Ongoing Program Costs</t>
  </si>
  <si>
    <t>Total Training and Program Costs</t>
  </si>
  <si>
    <t>Administration Costs estimated at 10%</t>
  </si>
  <si>
    <t>Utilization Rate: 100%</t>
  </si>
  <si>
    <r>
      <t>Developer Contact</t>
    </r>
    <r>
      <rPr>
        <sz val="11"/>
        <color theme="1"/>
        <rFont val="Segoe UI"/>
        <family val="2"/>
        <scheme val="minor"/>
      </rPr>
      <t>: Chandra Ghosh chandra.ghosh@ucsf.edu and Ann Chu ann.chu@ucsf.edu</t>
    </r>
  </si>
  <si>
    <t>Note from the developer: Please be aware that given the intensity and length of the training, there is limited training capacity. The demand for training is growing and may outpace the capacity of trainers to provide training upon request. Thus, it is critical that you ensure that a trainer is available to conduct training even as you apply for funding. The Development Team cannot ensure that a trainer will be available if advance arrangements have not been made.</t>
  </si>
  <si>
    <t>Cost-Related Resources from the Developer:</t>
  </si>
  <si>
    <t>Child Parent Psychotherapy Budget Worksheet</t>
  </si>
  <si>
    <t xml:space="preserve">CPP Benefit-Cost Summary </t>
  </si>
  <si>
    <t>Benefits minus costs: $58,558</t>
  </si>
  <si>
    <t xml:space="preserve">Benefit to cost ratio: $13.82	</t>
  </si>
  <si>
    <t>Chance the program will produce benefits greater than the costs: 96%</t>
  </si>
  <si>
    <t>Click here for more on WSIPP's CPP Benefit-Cost Analysis</t>
  </si>
  <si>
    <t xml:space="preserve">  Family Check-Up (FCU)</t>
  </si>
  <si>
    <t>Total Number of anticipated agencies:</t>
  </si>
  <si>
    <t>Number of staff per agency:</t>
  </si>
  <si>
    <t>-</t>
  </si>
  <si>
    <t>Total Number of  Therapists:</t>
  </si>
  <si>
    <r>
      <t xml:space="preserve">To calculate the training rate, first decide on which of the 2 required training options you would like to use, </t>
    </r>
    <r>
      <rPr>
        <i/>
        <u/>
        <sz val="11"/>
        <rFont val="Segoe UI"/>
        <family val="2"/>
        <scheme val="minor"/>
      </rPr>
      <t>then zero out the other option.</t>
    </r>
    <r>
      <rPr>
        <i/>
        <sz val="11"/>
        <rFont val="Segoe UI"/>
        <family val="2"/>
        <scheme val="minor"/>
      </rPr>
      <t xml:space="preserve"> In addition, determine if you are planning to use any of the optional/add-on training options and then </t>
    </r>
    <r>
      <rPr>
        <i/>
        <u/>
        <sz val="11"/>
        <rFont val="Segoe UI"/>
        <family val="2"/>
        <scheme val="minor"/>
      </rPr>
      <t>zero out the line items not chosen</t>
    </r>
    <r>
      <rPr>
        <i/>
        <sz val="11"/>
        <rFont val="Segoe UI"/>
        <family val="2"/>
        <scheme val="minor"/>
      </rPr>
      <t>.  Not doing so will result in an overestimate of the overall training costs.</t>
    </r>
  </si>
  <si>
    <t>Initial Family Check-Up Training (Opition 1)</t>
  </si>
  <si>
    <t>2-day, up to 8 trainees</t>
  </si>
  <si>
    <t>Initial Family Check-Up Training, Virtual (Option 2)</t>
  </si>
  <si>
    <t>10-hour, up to 4 trainees</t>
  </si>
  <si>
    <t>Initiatial Everyday Parenting Training</t>
  </si>
  <si>
    <t>1-day, up to 8 trainees</t>
  </si>
  <si>
    <t>Post-training Consultation</t>
  </si>
  <si>
    <t>4</t>
  </si>
  <si>
    <t>Input number of consultation hours.</t>
  </si>
  <si>
    <t>Post-training Consultation fee</t>
  </si>
  <si>
    <t>Certification: Family Check-Up provider</t>
  </si>
  <si>
    <t>Certification: Everyday Parenting provider</t>
  </si>
  <si>
    <t>Certification: Family Check-Up Trainer and Consultant</t>
  </si>
  <si>
    <t>Certification: Everyday Parenting Trainer and Consultant</t>
  </si>
  <si>
    <t>Salary for Clinical Supervisor</t>
  </si>
  <si>
    <t>Salary for Therapists</t>
  </si>
  <si>
    <t>Salary for Other Staff</t>
  </si>
  <si>
    <t>Family Check-Up (FCU) and Everyday Parenting (EDP) Training and Implementation Support Options</t>
  </si>
  <si>
    <t>Developer Contact: Anne Mauricio amariem@uoregon.edu</t>
  </si>
  <si>
    <t xml:space="preserve">FCU Benefit-Cost Summary </t>
  </si>
  <si>
    <t>Benefits minus costs: $9,018</t>
  </si>
  <si>
    <t xml:space="preserve">Benefit to cost ratio: $197.66	</t>
  </si>
  <si>
    <t>Chance the program will produce benefits greater than the costs: 70%</t>
  </si>
  <si>
    <t>Click here for more on WSIPP's FCU Benefit-Cost Analysis</t>
  </si>
  <si>
    <t xml:space="preserve">  Family Spirit</t>
  </si>
  <si>
    <t>Caseload size per direct staff person:</t>
  </si>
  <si>
    <t>Number of cases served in a year:</t>
  </si>
  <si>
    <t>Direct Service Staff</t>
  </si>
  <si>
    <t>Team staffing ratio:</t>
  </si>
  <si>
    <t>Percent of time:</t>
  </si>
  <si>
    <t>Fringe benefits:</t>
  </si>
  <si>
    <t>Total number of staff:</t>
  </si>
  <si>
    <t>Mileage reimbursement rate:</t>
  </si>
  <si>
    <t>Expected mileage per month per staff person:</t>
  </si>
  <si>
    <t>Staff telecommunications by agency:</t>
  </si>
  <si>
    <r>
      <t xml:space="preserve">To calculate the training rate, first decide on which of the 3 training options you would like to use, </t>
    </r>
    <r>
      <rPr>
        <i/>
        <u/>
        <sz val="11"/>
        <rFont val="Segoe UI"/>
        <family val="2"/>
        <scheme val="minor"/>
      </rPr>
      <t>then zero out the other two options</t>
    </r>
    <r>
      <rPr>
        <i/>
        <sz val="11"/>
        <rFont val="Segoe UI"/>
        <family val="2"/>
        <scheme val="minor"/>
      </rPr>
      <t>. Not doing so will result in an overestimate of the overall training costs.</t>
    </r>
  </si>
  <si>
    <t>Ongoing Costs</t>
  </si>
  <si>
    <t>Option 1: In Person at Affiliate Site</t>
  </si>
  <si>
    <t>Affiliation Fee per agency</t>
  </si>
  <si>
    <t>$10,000 for Year 1, $3,000 annually for existing affiliates</t>
  </si>
  <si>
    <t>Curriculum and Training</t>
  </si>
  <si>
    <t xml:space="preserve">$3,000 per Health Educator Trainee in Year 1. $1,800 per Health Educator Trainee for existing affiliates. </t>
  </si>
  <si>
    <t>Advanced Curriculum and Training for Supervisors</t>
  </si>
  <si>
    <t>$4,000 per supervisor. Includes training and ongoing support.</t>
  </si>
  <si>
    <t xml:space="preserve">Travel Costs for Trainers </t>
  </si>
  <si>
    <t>Dependent on site location, enter travel cost information when planning. ~$2,000 per trainer.</t>
  </si>
  <si>
    <t>Option 2: In Person at Regional Site</t>
  </si>
  <si>
    <t>Regional Training Service Fee</t>
  </si>
  <si>
    <t>$400 per trainee.</t>
  </si>
  <si>
    <t>Travel Costs for Trainees</t>
  </si>
  <si>
    <t xml:space="preserve">Estimate, enter travel cost information when planning. ~$2,000 per trainee. </t>
  </si>
  <si>
    <t>Option 3: Virtual Training</t>
  </si>
  <si>
    <t xml:space="preserve">Indirect Expenses </t>
  </si>
  <si>
    <r>
      <t xml:space="preserve">Placeholder line excludes </t>
    </r>
    <r>
      <rPr>
        <sz val="9"/>
        <rFont val="Segoe UI"/>
        <family val="2"/>
        <scheme val="minor"/>
      </rPr>
      <t xml:space="preserve">Occupancy. </t>
    </r>
    <r>
      <rPr>
        <i/>
        <sz val="9"/>
        <rFont val="Segoe UI"/>
        <family val="2"/>
        <scheme val="minor"/>
      </rPr>
      <t>Use the formula to input your jusidiction's indirect rate.</t>
    </r>
  </si>
  <si>
    <t>Family Spirit Cost Sheet</t>
  </si>
  <si>
    <t xml:space="preserve">* The Family Spirit developer notes that the staffing structure, cost for travel, etc., can vary greatly depending on the jurisdiction. Additionally, an optional purchase of a database for documentation and data collection will soon be available. </t>
  </si>
  <si>
    <r>
      <t>Developer Contact</t>
    </r>
    <r>
      <rPr>
        <sz val="11"/>
        <color rgb="FF000000"/>
        <rFont val="Segoe UI"/>
        <family val="2"/>
        <scheme val="minor"/>
      </rPr>
      <t>: FamilySpirit@jhu.edu</t>
    </r>
  </si>
  <si>
    <t>Family Spirit Benefit-Cost Summary</t>
  </si>
  <si>
    <t>Benefits minus costs: 	$881</t>
  </si>
  <si>
    <t>Benefit to cost ratio: $2.11</t>
  </si>
  <si>
    <t>Chance the program will produce benefits greater than the costs: 56%</t>
  </si>
  <si>
    <t>Click here for more on WSIPP's Family Spirit Benefit-Cost Analysis</t>
  </si>
  <si>
    <t xml:space="preserve">  Healthy Families America (HFA)</t>
  </si>
  <si>
    <t xml:space="preserve">Enter your jurisdiction, agency or provider specific information in the yellow boxes. Staff salary, FTE and fringe are placeholders and will vary based by region. Please consider salary ranges for your provider staff in your area for similar programs.  In terms of start up costs, please consider whether you will be engaging sites that are new to the model. </t>
  </si>
  <si>
    <t>Number served by a team in a year</t>
  </si>
  <si>
    <t>Total Number of Staff</t>
  </si>
  <si>
    <t>Program Managers</t>
  </si>
  <si>
    <t>Breakdown of Direct Service Staff</t>
  </si>
  <si>
    <t># of cross-trained Family Support Specialists:</t>
  </si>
  <si>
    <t># of Family Resource Specialists:</t>
  </si>
  <si>
    <t xml:space="preserve">Staff Telecommunications: </t>
  </si>
  <si>
    <t>Staff Office Supplies &amp; Utilities:</t>
  </si>
  <si>
    <t>Staff Occupancy (Rent &amp; Taxes):</t>
  </si>
  <si>
    <t>Training Cost Matrix</t>
  </si>
  <si>
    <t>To calculate the training rate below, determine if you are planning to use any of the optional/add-on training options.</t>
  </si>
  <si>
    <t>Year 3</t>
  </si>
  <si>
    <t>Direct Fixed Expenses</t>
  </si>
  <si>
    <t>Initial Staff Training</t>
  </si>
  <si>
    <t>Initial Training - Supervisor</t>
  </si>
  <si>
    <t>Initial Training - Program Manager</t>
  </si>
  <si>
    <t xml:space="preserve">Initial Training - Family Support </t>
  </si>
  <si>
    <t xml:space="preserve">Initial Training - Family Resource </t>
  </si>
  <si>
    <t>Measurement Tools/Database/Evaluation</t>
  </si>
  <si>
    <t>ASQ Materials</t>
  </si>
  <si>
    <t>Data System</t>
  </si>
  <si>
    <t>Optional. See pop-up note</t>
  </si>
  <si>
    <t>Other Measurement Tools</t>
  </si>
  <si>
    <t>Affiliate and Accreditation</t>
  </si>
  <si>
    <t xml:space="preserve">See popup note </t>
  </si>
  <si>
    <t>Affiliate Application Fee</t>
  </si>
  <si>
    <t>Accreditation Application Fee</t>
  </si>
  <si>
    <t>Parenting Materials/Curriculum</t>
  </si>
  <si>
    <t>See popup note</t>
  </si>
  <si>
    <t>Family Support Group Meetings</t>
  </si>
  <si>
    <t>Direct Variable Expenses</t>
  </si>
  <si>
    <t>Salary for Direct Service Staff</t>
  </si>
  <si>
    <t>Salary for Program Manager</t>
  </si>
  <si>
    <t>Advisory Board Meetings</t>
  </si>
  <si>
    <t>Model developer estimates at $103 per quarter</t>
  </si>
  <si>
    <t xml:space="preserve"> Program Costs per Implementation Year</t>
  </si>
  <si>
    <t>Estimated Cost per Family</t>
  </si>
  <si>
    <t>Using FFPSA Funds for HFA Home Visiting Services</t>
  </si>
  <si>
    <r>
      <t>Developer Contact</t>
    </r>
    <r>
      <rPr>
        <sz val="11"/>
        <color theme="1"/>
        <rFont val="Segoe UI"/>
        <family val="2"/>
        <scheme val="minor"/>
      </rPr>
      <t>: Amy Faugas, afaugas@preventchildabuse.org</t>
    </r>
  </si>
  <si>
    <t xml:space="preserve">HFA (Public Health &amp; Prevention: Home- or Family-based) Benefit-Cost Summary </t>
  </si>
  <si>
    <t>Benefits minus costs: $2,286</t>
  </si>
  <si>
    <t>Benefit to cost ratio: $1.43</t>
  </si>
  <si>
    <r>
      <t xml:space="preserve">  Functional Family Therapy (FFT), t</t>
    </r>
    <r>
      <rPr>
        <b/>
        <i/>
        <sz val="16"/>
        <color theme="0"/>
        <rFont val="Segoe UI"/>
        <family val="2"/>
        <scheme val="minor"/>
      </rPr>
      <t>he below is in reference to the cost associated with FFT, LLC.</t>
    </r>
  </si>
  <si>
    <t>Number of anticipated teams across agencies:</t>
  </si>
  <si>
    <t>Number served by a by therapist annually</t>
  </si>
  <si>
    <t>Average number of sessions by case</t>
  </si>
  <si>
    <t>Total Number of cases served in a year:</t>
  </si>
  <si>
    <t>Supervisor</t>
  </si>
  <si>
    <t>Direct Service</t>
  </si>
  <si>
    <t>Phase 1 Clinical Training (12-18 months)</t>
  </si>
  <si>
    <t xml:space="preserve">Phase 2 Supervisor Training </t>
  </si>
  <si>
    <t xml:space="preserve">Phase 3 and Ongoing Partnership </t>
  </si>
  <si>
    <t xml:space="preserve">Phase 1 of FFT Site Certification </t>
  </si>
  <si>
    <t xml:space="preserve">Total Cost per site </t>
  </si>
  <si>
    <t xml:space="preserve">Phase 1 Total Estimated Travel Costs </t>
  </si>
  <si>
    <t xml:space="preserve">One Day Implementation/CSS-Assessment Training </t>
  </si>
  <si>
    <t>R/T Airfare</t>
  </si>
  <si>
    <t>Lodging (2 nights @110 per night)</t>
  </si>
  <si>
    <t>Local Transportation (2 days)</t>
  </si>
  <si>
    <t>Meals (per-diem) 1 training days</t>
  </si>
  <si>
    <t xml:space="preserve">Parking (Trainer parking at home airport 2-days) </t>
  </si>
  <si>
    <t>$</t>
  </si>
  <si>
    <t>Two Day Clinical Training</t>
  </si>
  <si>
    <t>Local Transportation (3 days)</t>
  </si>
  <si>
    <t xml:space="preserve">Meals (per-diem)  2 training days </t>
  </si>
  <si>
    <t xml:space="preserve">Parking (Trainer parking at home airport 3-days) </t>
  </si>
  <si>
    <t>Two Day Follow-up Training (3 in year one)</t>
  </si>
  <si>
    <t>Lodging (6 nights @110 per night)</t>
  </si>
  <si>
    <t>Local Transportation (6 days)</t>
  </si>
  <si>
    <t>Meals (per-diem)  2 training days x 3</t>
  </si>
  <si>
    <t xml:space="preserve">Parking (Trainer parking at home airport) </t>
  </si>
  <si>
    <t>Externship</t>
  </si>
  <si>
    <t>Airfare</t>
  </si>
  <si>
    <t>Lodging (8 nights 110 per night)</t>
  </si>
  <si>
    <t xml:space="preserve">Meals </t>
  </si>
  <si>
    <t>Two Day On-Site 2nd Clinical Training</t>
  </si>
  <si>
    <t>Location Transportation (3 days)</t>
  </si>
  <si>
    <t>Meals</t>
  </si>
  <si>
    <t xml:space="preserve">Parking </t>
  </si>
  <si>
    <t xml:space="preserve">Phase 2 of FFT Site Certification </t>
  </si>
  <si>
    <t xml:space="preserve">Phase 2 Total Estimated Travel Costs </t>
  </si>
  <si>
    <t>Site Supervisor Training/Two 2-day Trainings at Off-Site Location</t>
  </si>
  <si>
    <t>Airfare ($500 x 2)</t>
  </si>
  <si>
    <t>Lodging (4 nights @100 per night)</t>
  </si>
  <si>
    <t>One-Day On-Site or Off-Site Trainings</t>
  </si>
  <si>
    <t xml:space="preserve">Airfare  </t>
  </si>
  <si>
    <t>Parking</t>
  </si>
  <si>
    <t>Lodging (1 night)</t>
  </si>
  <si>
    <t xml:space="preserve">Phase 3 and On-going FFT Site Certification </t>
  </si>
  <si>
    <t xml:space="preserve">Phase 3 and On-going Total Estimated Travel Costs  </t>
  </si>
  <si>
    <t>One Day On-Site or Off-Site Training</t>
  </si>
  <si>
    <t xml:space="preserve">Lodging </t>
  </si>
  <si>
    <t xml:space="preserve">Replacement Training Series </t>
  </si>
  <si>
    <t xml:space="preserve">Clinical Assessments </t>
  </si>
  <si>
    <t xml:space="preserve">Clinical Assessments - OQ-45.2 </t>
  </si>
  <si>
    <t>Clinical Assessments - Y-OQ2.01</t>
  </si>
  <si>
    <t xml:space="preserve">Clinical Assessments - YOQ SR </t>
  </si>
  <si>
    <t>Total Cost Per Family</t>
  </si>
  <si>
    <t xml:space="preserve">Cost-related Resources from the Developer: </t>
  </si>
  <si>
    <t>FFT Phases of Implementation and Certification Fees and Expenses</t>
  </si>
  <si>
    <r>
      <rPr>
        <b/>
        <sz val="11"/>
        <rFont val="Segoe UI"/>
        <family val="2"/>
        <scheme val="minor"/>
      </rPr>
      <t>Developer Contact</t>
    </r>
    <r>
      <rPr>
        <sz val="11"/>
        <color theme="1"/>
        <rFont val="Segoe UI"/>
        <family val="2"/>
        <scheme val="minor"/>
      </rPr>
      <t xml:space="preserve">: Holly Demaranville, hollyfft@comcast.net, Communications Director </t>
    </r>
  </si>
  <si>
    <t xml:space="preserve">FFT (Substance Use Disorders: Treatment for Youth) Benefit-Cost Summary </t>
  </si>
  <si>
    <t>Benefits minus costs: ($4,934)</t>
  </si>
  <si>
    <t>Benefit to cost ratio: ($0.35)</t>
  </si>
  <si>
    <t>Chance the program will produce benefits greater than the costs: 35%</t>
  </si>
  <si>
    <t>Click here for more on WSIPP's FFT Benefit-Cost Analysis</t>
  </si>
  <si>
    <t xml:space="preserve"> Functional Family Therapy (FFT Partners)</t>
  </si>
  <si>
    <t>Number served by a  therapist annually</t>
  </si>
  <si>
    <t>Cases served in year 1:</t>
  </si>
  <si>
    <t>Cases served in year 2+:</t>
  </si>
  <si>
    <t>Phase 1: Clinical Training (Expected Duration: 1 Year)</t>
  </si>
  <si>
    <t>Phase 2 (year 2): Site Supervisor Training and Fidelity Maintenance</t>
  </si>
  <si>
    <t>Phase 3: Certification, Support and Fidelity Maintenance</t>
  </si>
  <si>
    <r>
      <t xml:space="preserve">Phase 1 Clinical Training Protocol </t>
    </r>
    <r>
      <rPr>
        <i/>
        <sz val="11"/>
        <color theme="1"/>
        <rFont val="Segoe UI"/>
        <family val="2"/>
        <scheme val="minor"/>
      </rPr>
      <t>(Per Team Annual Fee)</t>
    </r>
  </si>
  <si>
    <t>Total Cost For All Teams Across Agencies</t>
  </si>
  <si>
    <t>Phase 1 Total Estimated Travel Costs</t>
  </si>
  <si>
    <t xml:space="preserve">Travel Reimbursement for up to (3) Training Visits on Site Per Team  </t>
  </si>
  <si>
    <r>
      <t xml:space="preserve">Phase 2: Supervision Training and Fidelity Maintenance </t>
    </r>
    <r>
      <rPr>
        <i/>
        <sz val="11"/>
        <color theme="1"/>
        <rFont val="Segoe UI"/>
        <family val="2"/>
        <scheme val="minor"/>
      </rPr>
      <t>(Per Team Annual Fee)</t>
    </r>
  </si>
  <si>
    <t xml:space="preserve">Travel Reimbursement for up to (2) Training Visits on Site Per Team </t>
  </si>
  <si>
    <t>Phase 2 Travel for the Site Supervisor of Each Team (1) Trip Per Team *Estimated average cost per Team</t>
  </si>
  <si>
    <r>
      <t xml:space="preserve">Phase 3: Certification Phase </t>
    </r>
    <r>
      <rPr>
        <i/>
        <sz val="11"/>
        <color theme="1"/>
        <rFont val="Segoe UI"/>
        <family val="2"/>
        <scheme val="minor"/>
      </rPr>
      <t>(Per Team Annual Fee)</t>
    </r>
  </si>
  <si>
    <t xml:space="preserve">Phase 3 Total Estimated Travel Costs </t>
  </si>
  <si>
    <t>Travel Reimbursement for up to (1) Training Visit on Site Per Team</t>
  </si>
  <si>
    <t>Phase 3 Travel for the Site Supervisor of Each Team (1) Trip Per Team *Estimated average cost per Team</t>
  </si>
  <si>
    <t xml:space="preserve">1.  In the first year, replacement training for any staff that leaves is free and provided on site with no travel cost.
Our Typical Replacement Training Fee is $1,500 per Therapist and the typical Turnover averages is 1.5 Therapists per Team in the first year: (1.5*$1,500.00=$2,250.00). This results in a $2,250.00 cost savings per team in year one. </t>
  </si>
  <si>
    <t xml:space="preserve">2.  Care4 is no cost to the team.  Care4 retail cost is $20,000 per organization, FFT Partners is able to partner with Care4 Inc. to offer Care4 at no additional cost to FFT P. Providers.                           3.  All Advanced Clinical Trainings and Supervised Practice Sessions are held with the entire team, giving the entire team an opportunity to learn and develop advanced clinical skills. There is no external "externship."  That means all team members get the experience of live practice.                                                                                                                                                                                                                                4. Evaluation.  Care4 is a complete evaluation tool eliminating the cost of evaluators gathering data.  This could be up to 15% saving on the total cost of the program.                                     5. Replacement Training in Year 2 and 3 is available onsite and immediately following the onboarding of new staff members. There is a cost savings related to zero travel costs (a savings of at least $1,500) and an increase in productivity with no wait time for replacement training.     </t>
  </si>
  <si>
    <t>Link to our cost sheet</t>
  </si>
  <si>
    <r>
      <rPr>
        <b/>
        <sz val="11"/>
        <rFont val="Segoe UI"/>
        <family val="2"/>
        <scheme val="minor"/>
      </rPr>
      <t>Developer Contact</t>
    </r>
    <r>
      <rPr>
        <sz val="11"/>
        <color theme="1"/>
        <rFont val="Segoe UI"/>
        <family val="2"/>
        <scheme val="minor"/>
      </rPr>
      <t xml:space="preserve">: </t>
    </r>
    <r>
      <rPr>
        <b/>
        <sz val="11"/>
        <color theme="1" tint="0.499984740745262"/>
        <rFont val="Segoe UI"/>
        <family val="2"/>
        <scheme val="minor"/>
      </rPr>
      <t xml:space="preserve">  Marta Anderson, LCSW (marta@functionalfamilytherapy.com,  Tom Sexton, Ph.D., ABPP (tom@functionalfamilytherapy.com)</t>
    </r>
  </si>
  <si>
    <t xml:space="preserve">FFT Benefit-Cost Summary </t>
  </si>
  <si>
    <t xml:space="preserve">  Incredible Years - School Age Basic Program</t>
  </si>
  <si>
    <t>Number of cases able to be served in a year:</t>
  </si>
  <si>
    <t>IY standard caseload size by team:</t>
  </si>
  <si>
    <t>Total number of staff across agencies</t>
  </si>
  <si>
    <t>Number of staff based on role:</t>
  </si>
  <si>
    <t>Percent of staff time for providing model:</t>
  </si>
  <si>
    <t>Childcare:</t>
  </si>
  <si>
    <t>Food:</t>
  </si>
  <si>
    <r>
      <t xml:space="preserve">To calculate the training rate, first decide on which of the 3 training options you would like to use, </t>
    </r>
    <r>
      <rPr>
        <i/>
        <u/>
        <sz val="11"/>
        <rFont val="Segoe UI"/>
        <family val="2"/>
        <scheme val="minor"/>
      </rPr>
      <t>then zero out the other two options</t>
    </r>
    <r>
      <rPr>
        <i/>
        <sz val="11"/>
        <rFont val="Segoe UI"/>
        <family val="2"/>
        <scheme val="minor"/>
      </rPr>
      <t xml:space="preserve">. In addition, choose between the two options for training videos and therapist textbooks, </t>
    </r>
    <r>
      <rPr>
        <i/>
        <u/>
        <sz val="11"/>
        <rFont val="Segoe UI"/>
        <family val="2"/>
        <scheme val="minor"/>
      </rPr>
      <t>then zero out the other option not chosen</t>
    </r>
    <r>
      <rPr>
        <i/>
        <sz val="11"/>
        <rFont val="Segoe UI"/>
        <family val="2"/>
        <scheme val="minor"/>
      </rPr>
      <t xml:space="preserve">.  Lastly, consider non-required training, and if not elected, </t>
    </r>
    <r>
      <rPr>
        <i/>
        <u/>
        <sz val="11"/>
        <rFont val="Segoe UI"/>
        <family val="2"/>
        <scheme val="minor"/>
      </rPr>
      <t>zero out these line items</t>
    </r>
    <r>
      <rPr>
        <i/>
        <sz val="11"/>
        <rFont val="Segoe UI"/>
        <family val="2"/>
        <scheme val="minor"/>
      </rPr>
      <t>.   Not doing so will result in an overestimate of the overall training costs.</t>
    </r>
  </si>
  <si>
    <t>Fixed Expenses - Required (but options available)</t>
  </si>
  <si>
    <t>Group Online Training - Option 1</t>
  </si>
  <si>
    <t>Cost is $6,850 per group based on a capacity of 15 trainees</t>
  </si>
  <si>
    <t>Individual Online Training - Option 2</t>
  </si>
  <si>
    <t>Cost of $775 per therapist</t>
  </si>
  <si>
    <t>Group In-Person Training - Option 3</t>
  </si>
  <si>
    <t>3-day training up to 25 people: ~$6,000 plus ~$2,250 for trainer travel</t>
  </si>
  <si>
    <t>Accreditation for each lead therapist</t>
  </si>
  <si>
    <t>Curriculum - Parent Book</t>
  </si>
  <si>
    <t xml:space="preserve">Curriculum - Videos on DVD/USB + Therapist Textbooks - Option 1 </t>
  </si>
  <si>
    <t>Curriculum - Videos via subscription + Therapist Textbooks - Option 2</t>
  </si>
  <si>
    <t>Consultation for each provider - Optional</t>
  </si>
  <si>
    <t xml:space="preserve">Recommended - monthly at $210 per session per agency </t>
  </si>
  <si>
    <t>No IY-dedicated supervisor is required as part of staffing plan</t>
  </si>
  <si>
    <t>Childcare</t>
  </si>
  <si>
    <t>Food</t>
  </si>
  <si>
    <t>Incredible Years Cost Planning Estimate Worksheet for Agencies -rev2020</t>
  </si>
  <si>
    <r>
      <t>Developer Contact</t>
    </r>
    <r>
      <rPr>
        <sz val="11"/>
        <color theme="1"/>
        <rFont val="Segoe UI"/>
        <family val="2"/>
        <scheme val="minor"/>
      </rPr>
      <t>: Jamila Reid, jamilar@incredibleyears.com</t>
    </r>
  </si>
  <si>
    <t xml:space="preserve">Incredible Years Parent Training Benefit-Cost Summary </t>
  </si>
  <si>
    <t xml:space="preserve">Benefits minus costs: $6,588	</t>
  </si>
  <si>
    <t xml:space="preserve">Benefit to cost ratio: $5.65	</t>
  </si>
  <si>
    <t>Chance the program will produce benefits greater than the costs: 59%</t>
  </si>
  <si>
    <t>Click here for more on WSIPP's Incredible Years Benefit-Cost Analysis</t>
  </si>
  <si>
    <t xml:space="preserve">  Incredible Years - Toddler Basic Program</t>
  </si>
  <si>
    <r>
      <t xml:space="preserve">To calculate the training rate, first decide on which of the 3 training options you would like to use, </t>
    </r>
    <r>
      <rPr>
        <i/>
        <u/>
        <sz val="11"/>
        <rFont val="Segoe UI"/>
        <family val="2"/>
        <scheme val="minor"/>
      </rPr>
      <t>then zero out the other two options.</t>
    </r>
    <r>
      <rPr>
        <i/>
        <sz val="11"/>
        <rFont val="Segoe UI"/>
        <family val="2"/>
        <scheme val="minor"/>
      </rPr>
      <t xml:space="preserve"> In addition, choose between the two options for training videos and therapist textbooks, </t>
    </r>
    <r>
      <rPr>
        <i/>
        <u/>
        <sz val="11"/>
        <rFont val="Segoe UI"/>
        <family val="2"/>
        <scheme val="minor"/>
      </rPr>
      <t>then zero out the other option not chosen</t>
    </r>
    <r>
      <rPr>
        <i/>
        <sz val="11"/>
        <rFont val="Segoe UI"/>
        <family val="2"/>
        <scheme val="minor"/>
      </rPr>
      <t xml:space="preserve">.  Lastly, consider non-required training, and if not elected, </t>
    </r>
    <r>
      <rPr>
        <i/>
        <u/>
        <sz val="11"/>
        <rFont val="Segoe UI"/>
        <family val="2"/>
        <scheme val="minor"/>
      </rPr>
      <t xml:space="preserve">zero out these line items. </t>
    </r>
    <r>
      <rPr>
        <i/>
        <sz val="11"/>
        <rFont val="Segoe UI"/>
        <family val="2"/>
        <scheme val="minor"/>
      </rPr>
      <t xml:space="preserve"> Not doing so will result in an overestimate of the overall training costs.</t>
    </r>
  </si>
  <si>
    <t>3-day training of up to 25 people is ~$6,000 plus ~$2,250 for trainer travel</t>
  </si>
  <si>
    <r>
      <t>Cost-Related Resources from the Developer</t>
    </r>
    <r>
      <rPr>
        <sz val="11"/>
        <color theme="1"/>
        <rFont val="Segoe UI"/>
        <family val="2"/>
        <scheme val="minor"/>
      </rPr>
      <t>:</t>
    </r>
    <r>
      <rPr>
        <b/>
        <sz val="11"/>
        <color theme="1"/>
        <rFont val="Segoe UI"/>
        <family val="2"/>
        <scheme val="minor"/>
      </rPr>
      <t xml:space="preserve"> </t>
    </r>
  </si>
  <si>
    <t xml:space="preserve">  Nurse Family Partnership (NFP)</t>
  </si>
  <si>
    <t>Anticipated number of provider agencies:</t>
  </si>
  <si>
    <t xml:space="preserve">                                                                 </t>
  </si>
  <si>
    <t>Caseload size for YR1:</t>
  </si>
  <si>
    <t>Total number of cases served in YR1:</t>
  </si>
  <si>
    <t>Caseload size for YR2+:</t>
  </si>
  <si>
    <t>Total number of cases served in YR2+:</t>
  </si>
  <si>
    <t>Nurse Supervisor</t>
  </si>
  <si>
    <t>Nurse Home Visitor</t>
  </si>
  <si>
    <t>Support</t>
  </si>
  <si>
    <t>Administrator</t>
  </si>
  <si>
    <t>Teaming Structure:</t>
  </si>
  <si>
    <t>Yearly Salary:</t>
  </si>
  <si>
    <t>Initial Start-up Costs</t>
  </si>
  <si>
    <t>NFP Start Up Costs</t>
  </si>
  <si>
    <t>Nurse Education</t>
  </si>
  <si>
    <t>$5100 + $648 * number of nurses</t>
  </si>
  <si>
    <t>Supervisor Education</t>
  </si>
  <si>
    <t>$5100 + $648 + $800 * number of supervisors</t>
  </si>
  <si>
    <t>Admin Orientation</t>
  </si>
  <si>
    <t>Accounts for one administrator</t>
  </si>
  <si>
    <t>Travel to Education (incl DANCE)</t>
  </si>
  <si>
    <t>DANCE Education</t>
  </si>
  <si>
    <t>$600 per trainee</t>
  </si>
  <si>
    <t>NCAST, PIPE and ASQ Materials</t>
  </si>
  <si>
    <t>$7786 for 8 Nurses</t>
  </si>
  <si>
    <t>Staff replacement due to attrition</t>
  </si>
  <si>
    <t>Cell phones</t>
  </si>
  <si>
    <t>Computer Equipment</t>
  </si>
  <si>
    <t xml:space="preserve">Includes cost for computer </t>
  </si>
  <si>
    <t>Ongoing Program Costs</t>
  </si>
  <si>
    <t>NFP Network Partner Support Fee</t>
  </si>
  <si>
    <t>Medical Program Supplies</t>
  </si>
  <si>
    <t>Client Support Materials</t>
  </si>
  <si>
    <t>Copies of Forms/Facilitators</t>
  </si>
  <si>
    <t>Office Expenses</t>
  </si>
  <si>
    <t>Office Supplies</t>
  </si>
  <si>
    <t>Postage</t>
  </si>
  <si>
    <t>Cellular usage fees</t>
  </si>
  <si>
    <t>Computer Network Fees</t>
  </si>
  <si>
    <t>Equipment rental &amp; maintenance</t>
  </si>
  <si>
    <t>Assumes 3% salary increase</t>
  </si>
  <si>
    <t>Support Staff</t>
  </si>
  <si>
    <t>Transportation</t>
  </si>
  <si>
    <t>Indirect Costs estimate of 10%</t>
  </si>
  <si>
    <t>NFP Budget Guidance</t>
  </si>
  <si>
    <t>NFP Sample Budget for 8 Nurse Home Visitors</t>
  </si>
  <si>
    <r>
      <t>Developer Contact</t>
    </r>
    <r>
      <rPr>
        <sz val="11"/>
        <color theme="1"/>
        <rFont val="Segoe UI"/>
        <family val="2"/>
        <scheme val="minor"/>
      </rPr>
      <t>: Felicia Fognani, MPP, Regulatory Program Manager, Felicia.Fognani@NurseFamilyPartnership.org</t>
    </r>
  </si>
  <si>
    <t>NFP Benefit-Cost Summary: Public Health &amp; Prevention: Home- or Family-based</t>
  </si>
  <si>
    <t xml:space="preserve">Benefits minus costs: $4,556	</t>
  </si>
  <si>
    <t>Benefit to cost ratio: $1.37</t>
  </si>
  <si>
    <t>Chance the program will produce benefits greater than the costs: 64%</t>
  </si>
  <si>
    <t>Click here for more on WSIPP's MST Benefit-Cost Analysis</t>
  </si>
  <si>
    <t xml:space="preserve">  Intercept</t>
  </si>
  <si>
    <t>Number of anticipated provider agencies/YV sites:</t>
  </si>
  <si>
    <t>Standard caseload size by team:</t>
  </si>
  <si>
    <t>Total number of staff across agencies:</t>
  </si>
  <si>
    <t>Specialists</t>
  </si>
  <si>
    <t>Program requirement for team staffing ratio:</t>
  </si>
  <si>
    <t>Program Cost Estimate</t>
  </si>
  <si>
    <t>Start Up Costs</t>
  </si>
  <si>
    <t>$50,000 per agency/YV site</t>
  </si>
  <si>
    <t>Data Collection</t>
  </si>
  <si>
    <t>$2,000 per team</t>
  </si>
  <si>
    <t>Program Model Adherence</t>
  </si>
  <si>
    <t>$22,500 per team</t>
  </si>
  <si>
    <t>Licensed Program Expert</t>
  </si>
  <si>
    <t>$25,000/team</t>
  </si>
  <si>
    <t>Leadership and Operations</t>
  </si>
  <si>
    <t>Supplemental Support</t>
  </si>
  <si>
    <t>10% of above staffing costs</t>
  </si>
  <si>
    <t>Professional Fees and Services</t>
  </si>
  <si>
    <t>Occupancy/Janitorial/Furniture</t>
  </si>
  <si>
    <t>Wraparound/Emergency Assistance</t>
  </si>
  <si>
    <t xml:space="preserve">Use the formula to input your jusidiction's indirect rate. Placeholder line excludes Occupancy. </t>
  </si>
  <si>
    <t xml:space="preserve">Estimated Cost per Family </t>
  </si>
  <si>
    <t>Intercept is a model developed by Youth Villages, Inc.  In addition to being the developer, Youth Villages (YV) is also the provider of Intercept in many states.  However, in other states, YV offers technical assistance to other providers who wish to offer Intercept. The above budget reflects estimates regardless if YV or another provider is offering Intercept.  urther cost estimates and specification should be sought out through the below contact person and in consultation with Youth Villages.</t>
  </si>
  <si>
    <r>
      <rPr>
        <b/>
        <sz val="11"/>
        <color theme="1"/>
        <rFont val="Segoe UI"/>
        <family val="2"/>
        <scheme val="minor"/>
      </rPr>
      <t>Developer Contact:</t>
    </r>
    <r>
      <rPr>
        <sz val="11"/>
        <color theme="1"/>
        <rFont val="Segoe UI"/>
        <family val="2"/>
        <scheme val="minor"/>
      </rPr>
      <t xml:space="preserve"> Kristen Davis, kristen.davis@youthvillages.org; Sarah Lord, Sarah.Lord@YouthVillages.org</t>
    </r>
  </si>
  <si>
    <t xml:space="preserve">  Motivational Interviewing (MI)</t>
  </si>
  <si>
    <r>
      <rPr>
        <i/>
        <sz val="14"/>
        <color theme="1"/>
        <rFont val="Segoe UI"/>
        <family val="2"/>
        <scheme val="minor"/>
      </rPr>
      <t>*</t>
    </r>
    <r>
      <rPr>
        <i/>
        <sz val="9"/>
        <color theme="1"/>
        <rFont val="Segoe UI"/>
        <family val="2"/>
        <scheme val="minor"/>
      </rPr>
      <t>please read the note further below on how to conceptualize the cost of MI in comparison with other EBPs provided here</t>
    </r>
  </si>
  <si>
    <t>Non-Direct Staff</t>
  </si>
  <si>
    <t>Train the Trainer</t>
  </si>
  <si>
    <t>Number of staff:</t>
  </si>
  <si>
    <t>Percent of FTE:</t>
  </si>
  <si>
    <t>MINT Trainer Daily Rate:</t>
  </si>
  <si>
    <t>In-Person per Participant Training Cost</t>
  </si>
  <si>
    <t>Level 1 Training (4 hours):</t>
  </si>
  <si>
    <t>Level 1-3 Training:</t>
  </si>
  <si>
    <t>Level 1 - 5 Training:</t>
  </si>
  <si>
    <t>Train the Trainer:</t>
  </si>
  <si>
    <t>Virtual per Participant Training Cost</t>
  </si>
  <si>
    <r>
      <t xml:space="preserve">Training costs are calculated based on the MINT trainer daily rate. In order to estimate cost per family correctly, </t>
    </r>
    <r>
      <rPr>
        <b/>
        <i/>
        <sz val="11"/>
        <color theme="1"/>
        <rFont val="Segoe UI"/>
        <family val="2"/>
        <scheme val="minor"/>
      </rPr>
      <t>be sure to zero out the below line items that do not correspond with your agency's desired training approach</t>
    </r>
    <r>
      <rPr>
        <i/>
        <sz val="11"/>
        <color theme="1"/>
        <rFont val="Segoe UI"/>
        <family val="2"/>
        <scheme val="minor"/>
      </rPr>
      <t>. Train the trainer approach is optional.</t>
    </r>
  </si>
  <si>
    <t>Estimated Program Costs</t>
  </si>
  <si>
    <t>In-Person Training Cost</t>
  </si>
  <si>
    <t xml:space="preserve">Supervisor Initial Training </t>
  </si>
  <si>
    <t>Direct Service Initial Training</t>
  </si>
  <si>
    <t>Administrative Initial Training</t>
  </si>
  <si>
    <t>Virtual Training Cost</t>
  </si>
  <si>
    <t>Supervisor Initial Training</t>
  </si>
  <si>
    <t>Ongoing Fidelity</t>
  </si>
  <si>
    <t>In development, see note.</t>
  </si>
  <si>
    <t>Salary for Non-Direct Staff</t>
  </si>
  <si>
    <t>Salary for In-House Trainer</t>
  </si>
  <si>
    <t>Optional</t>
  </si>
  <si>
    <r>
      <rPr>
        <sz val="14"/>
        <rFont val="Segoe UI"/>
        <family val="2"/>
        <scheme val="minor"/>
      </rPr>
      <t>*</t>
    </r>
    <r>
      <rPr>
        <sz val="12"/>
        <rFont val="Segoe UI"/>
        <family val="2"/>
        <scheme val="minor"/>
      </rPr>
      <t xml:space="preserve">General Note:  Unlike other evidence-based practices listed here, Motivational Interviewing is considered an intervention that can either be offered on its own or as adjunctive to another service or program.  As a result, personnel utilizing MI may be considered existing child welfare or contracted caseworker or clinical staff who currently support families in other capacities/service provision. </t>
    </r>
  </si>
  <si>
    <t xml:space="preserve">Related Resources from the Developer: </t>
  </si>
  <si>
    <t>MI Training Expectations</t>
  </si>
  <si>
    <r>
      <t>Developer Contact</t>
    </r>
    <r>
      <rPr>
        <sz val="11"/>
        <color theme="1"/>
        <rFont val="Segoe UI"/>
        <family val="2"/>
        <scheme val="minor"/>
      </rPr>
      <t>: Ali Hall, mi.consult.ahall@gmail.com</t>
    </r>
  </si>
  <si>
    <t xml:space="preserve">MI Benefit-Cost Summary </t>
  </si>
  <si>
    <t>Benefits minus costs: $6,175</t>
  </si>
  <si>
    <t>Benefit to cost ratio: $23.05</t>
  </si>
  <si>
    <t xml:space="preserve">Chance the program will produce benefits greater than the costs: 57%	</t>
  </si>
  <si>
    <t>Click here for more on WSIPP's MI Benefit-Cost Analysis</t>
  </si>
  <si>
    <t xml:space="preserve">  Multisystemic Therapy (MST)</t>
  </si>
  <si>
    <t>Total number of cases able to be served in a year:</t>
  </si>
  <si>
    <t>Initial Training</t>
  </si>
  <si>
    <t xml:space="preserve">This is a one-time cost for the first year </t>
  </si>
  <si>
    <t>Initial Agency License Fees</t>
  </si>
  <si>
    <t>$4,400 per agency</t>
  </si>
  <si>
    <t>Developer Consultation/Support Fee</t>
  </si>
  <si>
    <t>Includes ongoing training</t>
  </si>
  <si>
    <t>Team License/Certification</t>
  </si>
  <si>
    <t>Data System/Collection</t>
  </si>
  <si>
    <t>TAM Data Collection Services by MSTI, $5000/team</t>
  </si>
  <si>
    <t>Flex Funds</t>
  </si>
  <si>
    <t>$100 per family enrollment</t>
  </si>
  <si>
    <t>SA Treatment Resources</t>
  </si>
  <si>
    <t xml:space="preserve">$1500 per direct service staff </t>
  </si>
  <si>
    <t>Utilization Rate: 80%*</t>
  </si>
  <si>
    <r>
      <t xml:space="preserve">Developer Contact: </t>
    </r>
    <r>
      <rPr>
        <sz val="11"/>
        <color theme="1"/>
        <rFont val="Segoe UI"/>
        <family val="2"/>
        <scheme val="minor"/>
      </rPr>
      <t>Keller Strother; keller.strother@mstservices.com</t>
    </r>
  </si>
  <si>
    <t>* The MST developer notes that in the first year of implementation the utilization rate for MST is around 80%. Utilize the formula in the budget to adjust for your jurisdiction or agency's projected first year utilization rate.</t>
  </si>
  <si>
    <t xml:space="preserve">MST Benefit-Cost Summary </t>
  </si>
  <si>
    <t xml:space="preserve">Benefits minus costs: $17,083		</t>
  </si>
  <si>
    <t>Benefit to cost ratio: $3.02</t>
  </si>
  <si>
    <t>Chance the program will produce benefits greater than the costs: 99%</t>
  </si>
  <si>
    <t xml:space="preserve">  Parents as Teachers (PAT)</t>
  </si>
  <si>
    <t>Parent Educators</t>
  </si>
  <si>
    <t xml:space="preserve">Year 2 and ongoing </t>
  </si>
  <si>
    <t>Affiliation fee</t>
  </si>
  <si>
    <t>Due annually, price decreases after year 1 to $2,000</t>
  </si>
  <si>
    <t>Parent educator renewal fee (Foundational 2 fee)</t>
  </si>
  <si>
    <t xml:space="preserve">$600/parent educator, supervisor included + $50 tech fee. </t>
  </si>
  <si>
    <t xml:space="preserve">Training Travel Costs </t>
  </si>
  <si>
    <t>Foundational Training (3 days)</t>
  </si>
  <si>
    <t xml:space="preserve">$500/per person </t>
  </si>
  <si>
    <t>Lodging</t>
  </si>
  <si>
    <t>$125/night 3 nights</t>
  </si>
  <si>
    <t>$54/day 3 days</t>
  </si>
  <si>
    <t>Model Implementation Training (2 days)</t>
  </si>
  <si>
    <t>$125/night 2 nights</t>
  </si>
  <si>
    <t>$54/day 2 days</t>
  </si>
  <si>
    <t>Foundational 2 Training (2 days)</t>
  </si>
  <si>
    <t>Screenings</t>
  </si>
  <si>
    <t xml:space="preserve">ASQ3 or ASQ-SE/ASQ-SE2 Developmental Screening </t>
  </si>
  <si>
    <t xml:space="preserve">$295/starter kit </t>
  </si>
  <si>
    <t xml:space="preserve">Ongoing Annual Costs </t>
  </si>
  <si>
    <t>Current Model Affiliation fee</t>
  </si>
  <si>
    <t>Model certified parent educator renewal fee</t>
  </si>
  <si>
    <t>$200 per person, up to 25 model certified model educators</t>
  </si>
  <si>
    <t xml:space="preserve">Foundational 2 Curriculum access </t>
  </si>
  <si>
    <t>$55 per person, no cap</t>
  </si>
  <si>
    <t xml:space="preserve">Virtual core training </t>
  </si>
  <si>
    <t>Foundational and Model Implementation Fee</t>
  </si>
  <si>
    <t>$1050 per person + $75 tech fee</t>
  </si>
  <si>
    <t>Foundational</t>
  </si>
  <si>
    <t>$975 per person + $50 tech fee</t>
  </si>
  <si>
    <t>Model Implementation</t>
  </si>
  <si>
    <t>$300 per person + $50 tech fee</t>
  </si>
  <si>
    <t>Foundational 2</t>
  </si>
  <si>
    <t>$600 per person + $50 tech fee</t>
  </si>
  <si>
    <t xml:space="preserve">Foundations of Center-based Family Engagement </t>
  </si>
  <si>
    <t>PAT Budget Toolkit 2016/2017</t>
  </si>
  <si>
    <t>PAT Pricing Sheet 2020-2022</t>
  </si>
  <si>
    <r>
      <t xml:space="preserve">Developer Contact: </t>
    </r>
    <r>
      <rPr>
        <sz val="11"/>
        <color theme="1"/>
        <rFont val="Segoe UI"/>
        <family val="2"/>
        <scheme val="minor"/>
      </rPr>
      <t xml:space="preserve">Latonya Hicks Latonya.Hicks@parentsasteachers.org, Implementation Support and State Project Specialist </t>
    </r>
  </si>
  <si>
    <t xml:space="preserve">PAT (Public Health &amp; Prevention: Home- or Family-based) Benefit-Cost Summary </t>
  </si>
  <si>
    <t>Benefits minus costs: -$3,859</t>
  </si>
  <si>
    <t>Benefit to cost ratio: $0.18</t>
  </si>
  <si>
    <t>Chance the program will produce benefits greater than the costs: 30%</t>
  </si>
  <si>
    <t>Click here for more on WSIPP's PAT Benefit-Cost Analysis</t>
  </si>
  <si>
    <t xml:space="preserve">  Parent Child Interaction Therapy (PCIT)</t>
  </si>
  <si>
    <t>Number servied by a therapist in a year:</t>
  </si>
  <si>
    <t>Average Number of Sessions per Case:</t>
  </si>
  <si>
    <t>Staff Office Supplies &amp; Utilities by agency:</t>
  </si>
  <si>
    <t>$4,000 per participant</t>
  </si>
  <si>
    <t>Certification</t>
  </si>
  <si>
    <t>$225 per person</t>
  </si>
  <si>
    <t>Space Configuration</t>
  </si>
  <si>
    <t>Modification such as one-way mirror, sound equipment and toys</t>
  </si>
  <si>
    <t>$2.00/assessment per session</t>
  </si>
  <si>
    <r>
      <t xml:space="preserve">Developer Contact: </t>
    </r>
    <r>
      <rPr>
        <sz val="11"/>
        <color theme="1"/>
        <rFont val="Segoe UI"/>
        <family val="2"/>
        <scheme val="minor"/>
      </rPr>
      <t>John Paul Abner, PCIT International Global Trainer, JPAbner@milligan.edu</t>
    </r>
  </si>
  <si>
    <t xml:space="preserve">PCIT for families in the child welfare system Benefit-Cost Summary </t>
  </si>
  <si>
    <t xml:space="preserve">Benefits minus costs: $24,365		</t>
  </si>
  <si>
    <t xml:space="preserve">Benefit to cost ratio: $15.11	</t>
  </si>
  <si>
    <t>Click here for more on WSIPP's PCIT Benefit-Cost Analysis</t>
  </si>
  <si>
    <t xml:space="preserve">  SafeCare</t>
  </si>
  <si>
    <t>SafeCare standard caseload size:</t>
  </si>
  <si>
    <t>Coaches</t>
  </si>
  <si>
    <t>Providers</t>
  </si>
  <si>
    <t>Program average for team staffing ratio:</t>
  </si>
  <si>
    <t>Expected Mileage per month per Staff:</t>
  </si>
  <si>
    <t xml:space="preserve">The below assumes for the initial Year 1 implementation of SafeCare that the agency is completing phases 1 - 3 of the training pyramid in the image further below. SafeCare has additional Year 2+ accreditation costs and training options for agencies that wish to further expand, which includes training the Coach to be the Trainer of the SafeCare model and encompasses the fourth tier of the training pyriamid.  Most agencies do not train a Trainer but rather maintain their implementation at the Coach stage. </t>
  </si>
  <si>
    <t>Direct Expenses</t>
  </si>
  <si>
    <t xml:space="preserve">Pre-Implementation Planning and Orientation Seminar </t>
  </si>
  <si>
    <t>Provider Training Workshop and Implementation Support</t>
  </si>
  <si>
    <t>$2,822 per trainee</t>
  </si>
  <si>
    <t>See comment attached to your question.</t>
  </si>
  <si>
    <t>Coach Training Workshop and Certification Support</t>
  </si>
  <si>
    <t>$5,413 per Coach trainee</t>
  </si>
  <si>
    <t xml:space="preserve">NSTRC In-Person Training Specialist Travel Costs </t>
  </si>
  <si>
    <t xml:space="preserve">In-person training only. Zero out if opting for virtual format. </t>
  </si>
  <si>
    <t xml:space="preserve">Accreditation &amp; Licensing </t>
  </si>
  <si>
    <t xml:space="preserve">Accreditation and Staff Licensing </t>
  </si>
  <si>
    <t>Fidelity Assessment</t>
  </si>
  <si>
    <t>Salary for Coach</t>
  </si>
  <si>
    <t>Salary for Providers</t>
  </si>
  <si>
    <t>Path from SafeCare Provider to SafeCare Trainer</t>
  </si>
  <si>
    <t>*An exact price for training and implementation can be determined based on the actual number of Providers, Coaches, Sites, training location (city and state), and timeline. Depending on the configuration of trainees, an implementation plan may be customized to reduce costs. SafeCare will also work with jurisdictions to create a sustainability plan to allow for ongoing training to efficiently manage attrition. Second year costs will include an annual accreditation fee, and ongoing training supports for Coaches and Providers.</t>
  </si>
  <si>
    <r>
      <t xml:space="preserve">Developer Contact: </t>
    </r>
    <r>
      <rPr>
        <sz val="11"/>
        <color theme="1"/>
        <rFont val="Segoe UI"/>
        <family val="2"/>
        <scheme val="minor"/>
      </rPr>
      <t>JoAnne Bielecki, jbielecki@gsu.edu; 404-413-1340, safecare@gsu.edu</t>
    </r>
  </si>
  <si>
    <t xml:space="preserve">The Washington State Institute for Public Policy benefit-cost model estimates the dollar value of offering a program—a defined set of government efforts—to an additional person. The WSIPP benefit-cost model does this by valuing changes in outcomes (e.g. crime, depression, test scores) produced by programs and
comparing them to the costs of providing those programs. </t>
  </si>
  <si>
    <t xml:space="preserve">SafeCare Benefit-Cost Summary </t>
  </si>
  <si>
    <t xml:space="preserve">Benefits minus costs: $3,861 </t>
  </si>
  <si>
    <t>Benefit to cost ratio: $20.82</t>
  </si>
  <si>
    <t>Chance the program will produce benefits greater than the costs: 94%</t>
  </si>
  <si>
    <t>Click here for more on WSIPP's SafeCare Benefit-Cost Analysis</t>
  </si>
  <si>
    <t xml:space="preserve">  Trauma-Focused Cognitive Behavioral Therapy (TF-CBT)</t>
  </si>
  <si>
    <t>Staff Telecommunications by agency:</t>
  </si>
  <si>
    <t>Staff Occupancy (Rent &amp; Taxes) by agency:</t>
  </si>
  <si>
    <t>To calculate the training rate: decide if you would like to pay by therapist or by organization, then zero out the option not chosen.  Not doing so will result in an overestimate of the overall training costs. For further information on how to select training method, consult with the developer, contact information is listed below.</t>
  </si>
  <si>
    <t>Training rate per therapist:</t>
  </si>
  <si>
    <t>Training rate per organization:</t>
  </si>
  <si>
    <t>Initial Implementation Program Cost Estimate</t>
  </si>
  <si>
    <t>Fixed Expenses: Required</t>
  </si>
  <si>
    <t>TF-CBTWeb2.0 Training</t>
  </si>
  <si>
    <t>$35 per therapist</t>
  </si>
  <si>
    <t>Initial Training by Therapist</t>
  </si>
  <si>
    <r>
      <rPr>
        <b/>
        <i/>
        <sz val="11"/>
        <color theme="1"/>
        <rFont val="Segoe UI"/>
        <family val="2"/>
        <scheme val="minor"/>
      </rPr>
      <t xml:space="preserve">or </t>
    </r>
    <r>
      <rPr>
        <i/>
        <sz val="11"/>
        <color theme="1"/>
        <rFont val="Segoe UI"/>
        <family val="2"/>
        <scheme val="minor"/>
      </rPr>
      <t>Initial Training by Organization</t>
    </r>
  </si>
  <si>
    <t>Support Consultation Calls</t>
  </si>
  <si>
    <t>Fixed Expenses: Not Required</t>
  </si>
  <si>
    <t>Advanced TF-CBT Training</t>
  </si>
  <si>
    <t>Optional, $3,000/day</t>
  </si>
  <si>
    <t>Implementation Support</t>
  </si>
  <si>
    <t>Optional, $200-300/hr</t>
  </si>
  <si>
    <t>National Therapist Certification</t>
  </si>
  <si>
    <t>Optional, $500/first 5 years, $100/thereafter</t>
  </si>
  <si>
    <t>TF-CBT Books</t>
  </si>
  <si>
    <t>Optional, $35/copy</t>
  </si>
  <si>
    <r>
      <t xml:space="preserve">Developer Contact: </t>
    </r>
    <r>
      <rPr>
        <sz val="11"/>
        <rFont val="Segoe UI"/>
        <family val="2"/>
        <scheme val="minor"/>
      </rPr>
      <t>Anthony (Tony) Mannarino, anthony.mannarino@ahn.org</t>
    </r>
  </si>
  <si>
    <t xml:space="preserve">CBT-based models for child trauma Benefit-Cost Summary* </t>
  </si>
  <si>
    <t>*CBT-based models for child trauma includes TF-CBT, but also other CBT-based models</t>
  </si>
  <si>
    <t xml:space="preserve">Benefits minus costs: $24,303			</t>
  </si>
  <si>
    <t>Benefit to cost ratio: n/a</t>
  </si>
  <si>
    <t>Chance the program will produce benefits greater than the costs: 100 %</t>
  </si>
  <si>
    <t>Click here for more on WSIPP's CBT-based models for child trauma Benefit-Cost Analysis</t>
  </si>
  <si>
    <t>Triple P - Level 4: Standard Triple P, Group Triple P, Self-Directed Triple P and Triple P Online</t>
  </si>
  <si>
    <t>Expected number served per year (Group)</t>
  </si>
  <si>
    <t>Expected number served per year (Self-Directed)</t>
  </si>
  <si>
    <t>Expected number served per year (Online)</t>
  </si>
  <si>
    <t>Number of families served in a year:</t>
  </si>
  <si>
    <t>Practitioners</t>
  </si>
  <si>
    <t>Number of staff ONLY trained in Standard Triple P:</t>
  </si>
  <si>
    <t>Number of ONLY staff trained in Group Triple P:</t>
  </si>
  <si>
    <t>Employee attrition rate for the year:</t>
  </si>
  <si>
    <t>Initial One-Time Costs</t>
  </si>
  <si>
    <t>Standard Triple P - Open Enrollment Training</t>
  </si>
  <si>
    <t>Group Triple P - Open Enrollment Training</t>
  </si>
  <si>
    <t>Additional training costs associated with attrition rate</t>
  </si>
  <si>
    <t>Total Initial One-Time Costs</t>
  </si>
  <si>
    <t>OPTIONAL RESOURCES</t>
  </si>
  <si>
    <t>Remote Half-Day Workshop</t>
  </si>
  <si>
    <t>Telephone Support (1 hour)</t>
  </si>
  <si>
    <t>Total Optional Resources</t>
  </si>
  <si>
    <t>Parent Workbook: Standard Triple P</t>
  </si>
  <si>
    <t>Every Parent's Family Workbook</t>
  </si>
  <si>
    <t>Parent Workbook: Group Triple P</t>
  </si>
  <si>
    <t>Every Parent's Group Workbook</t>
  </si>
  <si>
    <t>Parent Workbook: Self-Directed Triple P</t>
  </si>
  <si>
    <t>Every Parent's Self-Help Workbook</t>
  </si>
  <si>
    <t>Parent Access Code: Triple P Online</t>
  </si>
  <si>
    <t>Access to Triple P Online</t>
  </si>
  <si>
    <t>Salary for Supervisors</t>
  </si>
  <si>
    <t>Salary for Practitioners</t>
  </si>
  <si>
    <t>Total Variable Expenses</t>
  </si>
  <si>
    <t>Administrative Costs estimated at 10%</t>
  </si>
  <si>
    <t xml:space="preserve">Although there are other Levels in the Triple P System, only Level 4 Standard Triple P, Group Triple P, Self-Directed Triple P and Triple P Online are included in this tool, because other programs have not been rated by the Title IV-E Clearinghouse. </t>
  </si>
  <si>
    <t>Triple P-Positive Parenting Program Benefit-Cost Summary: Public Health &amp; Prevention: Population-level policies</t>
  </si>
  <si>
    <t xml:space="preserve">Benefits minus costs: $4,873	</t>
  </si>
  <si>
    <t>Benefit to cost ratio: $7.12</t>
  </si>
  <si>
    <t>Chance the program will produce benefits greater than the costs: 60%</t>
  </si>
  <si>
    <t>Click here for more on WSIPP's Benefit-Cost Analysis</t>
  </si>
  <si>
    <t>Click here for more on WSIPP's Homebuilders Benefit-Cost Analysis</t>
  </si>
  <si>
    <t>Chance the program will produce benefits greater than the costs: 97%</t>
  </si>
  <si>
    <t>Benefit to cost ratio: $4.76</t>
  </si>
  <si>
    <t>Benefits minus costs:	$13,824</t>
  </si>
  <si>
    <t xml:space="preserve">Homebuilders Benefit-Cost Summary </t>
  </si>
  <si>
    <r>
      <t>Developer Contact</t>
    </r>
    <r>
      <rPr>
        <sz val="11"/>
        <color theme="1"/>
        <rFont val="Segoe UI"/>
        <family val="2"/>
        <scheme val="minor"/>
      </rPr>
      <t>: Shelley Leavitt, sleavitt@institutefamily.org</t>
    </r>
  </si>
  <si>
    <t>Administration estimated at 15%</t>
  </si>
  <si>
    <t>Flex Funds/Hard Services</t>
  </si>
  <si>
    <t>Salary for Support Staff</t>
  </si>
  <si>
    <t>Client Data System Annual License Fees</t>
  </si>
  <si>
    <t>Travel for Model Representative</t>
  </si>
  <si>
    <t>Onsite QE Visits</t>
  </si>
  <si>
    <t>Clinical and Program Consultation</t>
  </si>
  <si>
    <t>Quality Assurance</t>
  </si>
  <si>
    <t>Skills Practice and other Workshops as needed</t>
  </si>
  <si>
    <t>Working with Families with Domestic Violence</t>
  </si>
  <si>
    <t xml:space="preserve">Improving Decision Making through Critical Thinking </t>
  </si>
  <si>
    <t>Training activities for Year 2</t>
  </si>
  <si>
    <t>Supervision Off-Site Training</t>
  </si>
  <si>
    <t>Cognitive &amp; Behavioral Strategies; Teaching Skills</t>
  </si>
  <si>
    <t>MI &amp; Relapse Prevention</t>
  </si>
  <si>
    <t xml:space="preserve">Homebuilders Core Skills </t>
  </si>
  <si>
    <t>Training activities for Year 1</t>
  </si>
  <si>
    <t>Staff Replacement due to Attrition</t>
  </si>
  <si>
    <t>ECM Data System Basics and Running Reports</t>
  </si>
  <si>
    <t>Client Documentation Paperwork Pt. 1 &amp; 2</t>
  </si>
  <si>
    <t>Training and Start Up</t>
  </si>
  <si>
    <t>Program Manager</t>
  </si>
  <si>
    <t>Total Number of Cases Served (ongoing):</t>
  </si>
  <si>
    <t>Caseload size by team (ongoing):</t>
  </si>
  <si>
    <t>Total Number of Cases Served (YR1):</t>
  </si>
  <si>
    <t>Caseload size by team (YR1):</t>
  </si>
  <si>
    <t>North Dakota, South Carolina, Florida, Michigan and Indiana.</t>
  </si>
  <si>
    <r>
      <t xml:space="preserve">Developer Contact: </t>
    </r>
    <r>
      <rPr>
        <sz val="11"/>
        <rFont val="Segoe UI"/>
        <family val="2"/>
        <scheme val="minor"/>
      </rPr>
      <t>contact.us@triplep.net</t>
    </r>
    <r>
      <rPr>
        <b/>
        <sz val="11"/>
        <rFont val="Segoe UI"/>
        <family val="2"/>
        <scheme val="minor"/>
      </rPr>
      <t xml:space="preserve">; </t>
    </r>
    <r>
      <rPr>
        <sz val="11"/>
        <rFont val="Segoe UI"/>
        <family val="2"/>
        <scheme val="minor"/>
      </rPr>
      <t>we specifically worked with Lauren Spark, lauren.spark@triplep.net and Randy Ahn, randy@triplep.net. 
Prices are valid to 12.31.2021.</t>
    </r>
  </si>
  <si>
    <t>Please reference the above cell if you choose to have a supervisor.</t>
  </si>
  <si>
    <t>$79.95 per parent</t>
  </si>
  <si>
    <t>$33.15 per workbook; one required per family</t>
  </si>
  <si>
    <t>$26.85 per workbook; one required per family</t>
  </si>
  <si>
    <t>Recommended but please delete if not required</t>
  </si>
  <si>
    <t>Cost per participant. Discount applies for groups of more than 10</t>
  </si>
  <si>
    <t>Expected number served per year (Standard)</t>
  </si>
  <si>
    <t>Enter your jurisdiction, agency or provider specific information in the yellow boxes. Staff salary, FTE and fringe are placeholders and will vary based by region. Please consider salary ranges for your provider staff in your area for similar programs. *Please delete information that is not relevant to ensure accurate costings.</t>
  </si>
  <si>
    <t>Standard, Group, Self-Directed, and Online Triple P are rated by the Title IV-E Clearinghouse and the CEBC. Standard and Group delivery options to families require separate trainings and a discount is available for any practitioner who chooses to take both trainings (i.e., Extention Courses). Extension Courses may also be available for previously trained practitioners; these courses are shorter and less expensive. Self-Directed and Online delivery methods do not have a separate training for practitioners. Costs have been provided per practitioner, but discounted agency training is available for groups of more than 10.</t>
  </si>
  <si>
    <r>
      <t>The Triple P - Positive Parenting Program® is a five-level system that addresses service intensity (i.e. the level of support parent</t>
    </r>
    <r>
      <rPr>
        <sz val="11"/>
        <rFont val="Segoe UI"/>
        <family val="2"/>
      </rPr>
      <t>s may need) and how parents access this support (e.g. one-to-one, groups, self-directed). Level 4 programs for families with children 0-12 years have been highlighted as well-supported by the CEBC.</t>
    </r>
    <r>
      <rPr>
        <sz val="11"/>
        <color rgb="FF000000"/>
        <rFont val="Segoe UI"/>
        <family val="2"/>
      </rPr>
      <t xml:space="preserve">
Standard Triple P is a Level 4 program that provides parents with broadly focused parenting support and intervention on a one-to-one basis. The program supports parents who have concerns about their child's behavior or development across various settings (e.g. disobedience in community settings, fighting and aggression, refusing to stay in bed or eat healthy meals). Over 10 sessions, parents identify the causes of child behavior problems and set their own goals for change. They learn a range of parenting strategies to promote and develop positive behavior for their child. Practitioners are trained to work with parents' strengths and to provide a supportive environment where a parent can self-evaluate, and refine their goals and use of parenting strategies.
Other variations of Standard Triple P have also not been rated by CEBC, including Standard Teen Triple P for parents of children up to 16 years or Standard Stepping Stones Triple P for parents of children up to 12 years with developmental delays. </t>
    </r>
  </si>
  <si>
    <r>
      <t xml:space="preserve">The Triple P - Positive Parenting Program® is a five-level system that addresses service intensity (i.e. the level of support parents may need) and how parents access this support (e.g. one-to-one, groups, self-directed). Level 4 programs for families with children 0-12 years have been highlighted </t>
    </r>
    <r>
      <rPr>
        <sz val="11"/>
        <rFont val="Segoe UI"/>
        <family val="2"/>
      </rPr>
      <t>as well-supported by</t>
    </r>
    <r>
      <rPr>
        <sz val="11"/>
        <color rgb="FF000000"/>
        <rFont val="Segoe UI"/>
        <family val="2"/>
      </rPr>
      <t xml:space="preserve"> the CEBC.
Group Triple P is a Level 4 program that is a broad-based parenting intervention delivered over eight weeks for parents or caregivers of children up to 12-years. The program involves five (2-hour) group sessions with approximately 10 parents. During these groups, parents actively participate in a range of exercises to learn about the causes of child behavior problems, setting specific goals, and using strategies to promote child development, manage misbehavior, and plan for high-risk situations. These are followed by three (15 to 30 minute) individual (telephone) consultations to assist parents with independent problem solving while they are practising the skills at home. Practitioners are trained to work with parents' strengths and to provide a supportive environment where a parent can self-evaluate, and refine their goals and use of parenting strategies.
Group Teen Triple P for parents of children up to 16 years and Group Stepping Stones Triple P for parents of children up to 12 years with a developmental disability are other variations available that have not been rated by CEBC.</t>
    </r>
  </si>
  <si>
    <r>
      <t>The Triple P - Positive Parenting Program® is a five-level system that addresses service intensity (i.e. the level of support parents may need) and how parents access this support (e.g. one-to-one, groups, self-directed). Level 4 programs for families with children 0-12 years have been highligh</t>
    </r>
    <r>
      <rPr>
        <sz val="11"/>
        <rFont val="Segoe UI"/>
        <family val="2"/>
      </rPr>
      <t>ted as well-supported by</t>
    </r>
    <r>
      <rPr>
        <sz val="11"/>
        <color rgb="FF000000"/>
        <rFont val="Segoe UI"/>
        <family val="2"/>
      </rPr>
      <t xml:space="preserve"> the CEBC.
Triple P Online is a broad-based parenting intervention delivered online for parents of children up to 12 years. The program involves eight (1-hour) online modules that parents complete independently in their own time, from a computer, tablet or smartphone. Triple P Online introduces users to
Triple P’s 17 core parenting skills – simple strategies to encourage positive behaviour and to prevent and
manage misbehaviour. The program teaches parents to
apply these principles to specific situations, and includes
strategies for partner support and coping with stress. The
video-enriched program aims for a balance of simplicity
and interactivity to promote parental engagement and
completion of the program.
Teen Triple P Online is a variation available for parents of children up to 16 years but has not been rated by CEBC.</t>
    </r>
  </si>
  <si>
    <t>The Triple P - Positive Parenting Program® is a five-level system that addresses service intensity (i.e. the level of support parents may need) and how parents access this support (e.g. one-to-one, groups, self-directed). Level 4 programs for families with children 0-12 years have been highlighted as well-supported by the CEBC.
Self-Directed Triple P is a Level 4 program that promotes self-sufficiency and independent problem-solving to parents experiencing problems with their child's behaviour. This self-directed program comprises a parenting text and parent workbook and involves no practitioner contact or prompting following initial telephone screening and intake. Consistent with Triple P's overall emphasis on parent self-regulation, parents learn to modify their own behaviour through a process of planned, self-directed change to promote parental self-sufficiency.</t>
  </si>
  <si>
    <t xml:space="preserve">There is no pre-allocated practitioner support for Triple P Online. Parents can access the program directly via the website (triplep-parenting.net), or through an accredited provider. A practitioner is not required to deliver the intervention unless telephone support is to be provided to families completing Triple P Online. Telephone support can be estimated at one hour per family requiring support (up to four 15-minute telephone calls). Telephone support is an optional service that agencies can provide parents.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</si>
</sst>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409]* #,##0.00_);_([$$-409]* \(#,##0.00\);_([$$-409]* &quot;-&quot;??_);_(@_)"/>
    <numFmt numFmtId="166" formatCode="_-&quot;$&quot;* #,##0.00_-;\-&quot;$&quot;* #,##0.00_-;_-&quot;$&quot;* &quot;-&quot;??_-;_-@_-"/>
  </numFmts>
  <fonts count="171" x14ac:knownFonts="1">
    <font>
      <sz val="11"/>
      <color theme="1"/>
      <name val="Segoe UI"/>
      <family val="2"/>
      <scheme val="minor"/>
    </font>
    <font>
      <u/>
      <sz val="11"/>
      <color theme="10"/>
      <name val="Segoe UI"/>
      <family val="2"/>
      <scheme val="minor"/>
    </font>
    <font>
      <sz val="11"/>
      <name val="Segoe UI"/>
      <family val="2"/>
      <scheme val="minor"/>
    </font>
    <font>
      <sz val="11"/>
      <color theme="1"/>
      <name val="Segoe UI"/>
      <family val="2"/>
      <scheme val="minor"/>
    </font>
    <font>
      <b/>
      <sz val="11"/>
      <color theme="1"/>
      <name val="Segoe UI"/>
      <family val="2"/>
      <scheme val="minor"/>
    </font>
    <font>
      <i/>
      <sz val="11"/>
      <color theme="1"/>
      <name val="Segoe UI"/>
      <family val="2"/>
      <scheme val="minor"/>
    </font>
    <font>
      <b/>
      <i/>
      <sz val="11"/>
      <color theme="1"/>
      <name val="Segoe UI"/>
      <family val="2"/>
      <scheme val="minor"/>
    </font>
    <font>
      <b/>
      <sz val="18"/>
      <color theme="0"/>
      <name val="Segoe UI"/>
      <family val="2"/>
      <scheme val="minor"/>
    </font>
    <font>
      <b/>
      <sz val="16"/>
      <color rgb="FFC00000"/>
      <name val="Segoe UI"/>
      <family val="2"/>
      <scheme val="minor"/>
    </font>
    <font>
      <b/>
      <sz val="11"/>
      <color rgb="FFC00000"/>
      <name val="Segoe UI"/>
      <family val="2"/>
      <scheme val="minor"/>
    </font>
    <font>
      <sz val="11"/>
      <color theme="0"/>
      <name val="Segoe UI"/>
      <family val="2"/>
      <scheme val="minor"/>
    </font>
    <font>
      <b/>
      <sz val="11"/>
      <color theme="4" tint="-0.249977111117893"/>
      <name val="Segoe UI"/>
      <family val="2"/>
      <scheme val="minor"/>
    </font>
    <font>
      <b/>
      <i/>
      <sz val="11"/>
      <color theme="4" tint="-0.249977111117893"/>
      <name val="Segoe UI"/>
      <family val="2"/>
      <scheme val="minor"/>
    </font>
    <font>
      <b/>
      <sz val="16"/>
      <color theme="4" tint="-0.249977111117893"/>
      <name val="Segoe UI"/>
      <family val="2"/>
      <scheme val="minor"/>
    </font>
    <font>
      <sz val="11"/>
      <color theme="4" tint="-0.249977111117893"/>
      <name val="Segoe UI"/>
      <family val="2"/>
      <scheme val="minor"/>
    </font>
    <font>
      <i/>
      <sz val="9"/>
      <name val="Segoe UI"/>
      <family val="2"/>
      <scheme val="minor"/>
    </font>
    <font>
      <b/>
      <sz val="10"/>
      <color rgb="FF58593F"/>
      <name val="Segoe UI"/>
      <family val="2"/>
      <scheme val="minor"/>
    </font>
    <font>
      <sz val="9"/>
      <color indexed="81"/>
      <name val="Tahoma"/>
      <family val="2"/>
    </font>
    <font>
      <b/>
      <sz val="9"/>
      <color indexed="81"/>
      <name val="Tahoma"/>
      <family val="2"/>
    </font>
    <font>
      <b/>
      <i/>
      <sz val="11"/>
      <name val="Segoe UI"/>
      <family val="2"/>
      <scheme val="minor"/>
    </font>
    <font>
      <b/>
      <sz val="11"/>
      <color rgb="FFFF0000"/>
      <name val="Segoe UI"/>
      <family val="2"/>
      <scheme val="minor"/>
    </font>
    <font>
      <i/>
      <sz val="11"/>
      <name val="Segoe UI"/>
      <family val="2"/>
      <scheme val="minor"/>
    </font>
    <font>
      <b/>
      <sz val="11"/>
      <color theme="1" tint="0.499984740745262"/>
      <name val="Segoe UI"/>
      <family val="2"/>
      <scheme val="minor"/>
    </font>
    <font>
      <sz val="11"/>
      <color rgb="FFFF0000"/>
      <name val="Segoe UI"/>
      <family val="2"/>
      <scheme val="minor"/>
    </font>
    <font>
      <sz val="9"/>
      <name val="Segoe UI"/>
      <family val="2"/>
      <scheme val="minor"/>
    </font>
    <font>
      <sz val="11"/>
      <color theme="1" tint="0.499984740745262"/>
      <name val="Segoe UI"/>
      <family val="2"/>
      <scheme val="minor"/>
    </font>
    <font>
      <sz val="11"/>
      <color theme="1"/>
      <name val="Segoe UI"/>
      <family val="2"/>
    </font>
    <font>
      <sz val="10"/>
      <color theme="1"/>
      <name val="Segoe UI"/>
      <family val="2"/>
    </font>
    <font>
      <i/>
      <sz val="11"/>
      <color theme="1"/>
      <name val="Segoe UI"/>
      <family val="2"/>
    </font>
    <font>
      <sz val="11"/>
      <name val="Segoe UI"/>
      <family val="2"/>
    </font>
    <font>
      <b/>
      <sz val="11"/>
      <color theme="1"/>
      <name val="Segoe UI"/>
      <family val="2"/>
    </font>
    <font>
      <sz val="11"/>
      <color rgb="FFFF0000"/>
      <name val="Segoe UI"/>
      <family val="2"/>
    </font>
    <font>
      <sz val="11"/>
      <color theme="0"/>
      <name val="Segoe UI"/>
      <family val="2"/>
    </font>
    <font>
      <i/>
      <sz val="9"/>
      <name val="Segoe UI"/>
      <family val="2"/>
    </font>
    <font>
      <i/>
      <sz val="11"/>
      <name val="Segoe UI"/>
      <family val="2"/>
    </font>
    <font>
      <b/>
      <sz val="12.5"/>
      <color theme="1"/>
      <name val="Segoe UI"/>
      <family val="2"/>
    </font>
    <font>
      <sz val="10.5"/>
      <color theme="1"/>
      <name val="Segoe UI"/>
      <family val="2"/>
    </font>
    <font>
      <i/>
      <u/>
      <sz val="11"/>
      <name val="Segoe UI"/>
      <family val="2"/>
    </font>
    <font>
      <u/>
      <sz val="11"/>
      <name val="Segoe UI"/>
      <family val="2"/>
    </font>
    <font>
      <b/>
      <sz val="12"/>
      <color theme="1"/>
      <name val="Segoe UI"/>
      <family val="2"/>
    </font>
    <font>
      <u/>
      <sz val="11"/>
      <color theme="10"/>
      <name val="Segoe UI"/>
      <family val="2"/>
    </font>
    <font>
      <sz val="10"/>
      <name val="Segoe UI"/>
      <family val="2"/>
    </font>
    <font>
      <sz val="7"/>
      <name val="Segoe UI"/>
      <family val="2"/>
    </font>
    <font>
      <b/>
      <sz val="20"/>
      <color theme="0"/>
      <name val="Segoe UI"/>
      <family val="2"/>
    </font>
    <font>
      <b/>
      <sz val="20"/>
      <color theme="1"/>
      <name val="Segoe UI"/>
      <family val="2"/>
    </font>
    <font>
      <i/>
      <sz val="9"/>
      <color theme="1"/>
      <name val="Segoe UI"/>
      <family val="2"/>
      <scheme val="minor"/>
    </font>
    <font>
      <b/>
      <sz val="12"/>
      <color theme="1"/>
      <name val="Segoe UI"/>
      <family val="2"/>
      <scheme val="minor"/>
    </font>
    <font>
      <i/>
      <sz val="11"/>
      <color theme="1" tint="0.499984740745262"/>
      <name val="Segoe UI"/>
      <family val="2"/>
      <scheme val="minor"/>
    </font>
    <font>
      <sz val="11"/>
      <color rgb="FF000000"/>
      <name val="Segoe UI"/>
      <family val="2"/>
    </font>
    <font>
      <sz val="11"/>
      <color rgb="FF19150F"/>
      <name val="Segoe UI"/>
      <family val="2"/>
    </font>
    <font>
      <i/>
      <sz val="9"/>
      <color rgb="FF000000"/>
      <name val="Segoe UI"/>
      <family val="2"/>
      <scheme val="minor"/>
    </font>
    <font>
      <b/>
      <i/>
      <sz val="9"/>
      <name val="Segoe UI"/>
      <family val="2"/>
      <scheme val="minor"/>
    </font>
    <font>
      <sz val="10"/>
      <color theme="1"/>
      <name val="Segoe UI"/>
      <family val="2"/>
      <scheme val="minor"/>
    </font>
    <font>
      <b/>
      <sz val="11"/>
      <color theme="0"/>
      <name val="Segoe UI"/>
      <family val="2"/>
      <scheme val="minor"/>
    </font>
    <font>
      <sz val="10"/>
      <name val="Segoe UI"/>
      <family val="2"/>
      <scheme val="minor"/>
    </font>
    <font>
      <b/>
      <sz val="11"/>
      <name val="Segoe UI"/>
      <family val="2"/>
      <scheme val="minor"/>
    </font>
    <font>
      <i/>
      <sz val="14"/>
      <color theme="1"/>
      <name val="Segoe UI"/>
      <family val="2"/>
      <scheme val="minor"/>
    </font>
    <font>
      <i/>
      <u/>
      <sz val="11"/>
      <color theme="1"/>
      <name val="Segoe UI"/>
      <family val="2"/>
      <scheme val="minor"/>
    </font>
    <font>
      <b/>
      <sz val="10"/>
      <color theme="4" tint="-0.249977111117893"/>
      <name val="Segoe UI"/>
      <family val="2"/>
      <scheme val="minor"/>
    </font>
    <font>
      <b/>
      <sz val="20"/>
      <color rgb="FFFF0000"/>
      <name val="Segoe UI"/>
      <family val="2"/>
      <scheme val="minor"/>
    </font>
    <font>
      <i/>
      <sz val="11"/>
      <color theme="4" tint="-0.249977111117893"/>
      <name val="Segoe UI"/>
      <family val="2"/>
      <scheme val="minor"/>
    </font>
    <font>
      <b/>
      <i/>
      <sz val="12"/>
      <name val="Segoe UI"/>
      <family val="2"/>
      <scheme val="minor"/>
    </font>
    <font>
      <sz val="12"/>
      <name val="Segoe UI"/>
      <family val="2"/>
      <scheme val="minor"/>
    </font>
    <font>
      <b/>
      <sz val="12"/>
      <color rgb="FFFF0000"/>
      <name val="Segoe UI"/>
      <family val="2"/>
      <scheme val="minor"/>
    </font>
    <font>
      <b/>
      <sz val="18"/>
      <color theme="0"/>
      <name val="Segoe UI"/>
      <family val="2"/>
    </font>
    <font>
      <b/>
      <sz val="10"/>
      <color rgb="FF58593F"/>
      <name val="Segoe UI"/>
      <family val="2"/>
    </font>
    <font>
      <b/>
      <sz val="11"/>
      <color theme="4" tint="-0.249977111117893"/>
      <name val="Segoe UI"/>
      <family val="2"/>
    </font>
    <font>
      <b/>
      <sz val="16"/>
      <color theme="4" tint="-0.249977111117893"/>
      <name val="Segoe UI"/>
      <family val="2"/>
    </font>
    <font>
      <sz val="11"/>
      <color theme="4" tint="-0.249977111117893"/>
      <name val="Segoe UI"/>
      <family val="2"/>
    </font>
    <font>
      <b/>
      <i/>
      <sz val="11"/>
      <name val="Segoe UI"/>
      <family val="2"/>
    </font>
    <font>
      <sz val="9"/>
      <name val="Segoe UI"/>
      <family val="2"/>
    </font>
    <font>
      <b/>
      <sz val="11"/>
      <color theme="1" tint="0.499984740745262"/>
      <name val="Segoe UI"/>
      <family val="2"/>
    </font>
    <font>
      <b/>
      <i/>
      <sz val="9"/>
      <color theme="4" tint="-0.249977111117893"/>
      <name val="Segoe UI"/>
      <family val="2"/>
      <scheme val="minor"/>
    </font>
    <font>
      <sz val="9"/>
      <color theme="1"/>
      <name val="Segoe UI"/>
      <family val="2"/>
    </font>
    <font>
      <i/>
      <sz val="9"/>
      <color indexed="81"/>
      <name val="Tahoma"/>
      <family val="2"/>
    </font>
    <font>
      <sz val="10"/>
      <color rgb="FF000000"/>
      <name val="Segoe UI"/>
      <family val="2"/>
    </font>
    <font>
      <sz val="11"/>
      <color rgb="FF000000"/>
      <name val="Calibri"/>
      <family val="2"/>
    </font>
    <font>
      <sz val="11"/>
      <color rgb="FF305496"/>
      <name val="Calibri"/>
      <family val="2"/>
    </font>
    <font>
      <sz val="14"/>
      <name val="Segoe UI"/>
      <family val="2"/>
      <scheme val="minor"/>
    </font>
    <font>
      <b/>
      <sz val="11"/>
      <color theme="4" tint="-0.499984740745262"/>
      <name val="Segoe UI"/>
      <family val="2"/>
      <scheme val="minor"/>
    </font>
    <font>
      <sz val="11"/>
      <color rgb="FF305496"/>
      <name val="Calibri"/>
      <family val="2"/>
      <charset val="1"/>
    </font>
    <font>
      <sz val="11"/>
      <color rgb="FF305496"/>
      <name val="Segoe UI"/>
      <family val="2"/>
      <scheme val="minor"/>
    </font>
    <font>
      <b/>
      <sz val="11"/>
      <color rgb="FF203764"/>
      <name val="Segoe UI"/>
      <family val="2"/>
      <scheme val="minor"/>
    </font>
    <font>
      <sz val="9.5"/>
      <name val="Segoe UI"/>
      <family val="2"/>
      <scheme val="minor"/>
    </font>
    <font>
      <sz val="11"/>
      <color rgb="FF7030A0"/>
      <name val="Segoe UI"/>
      <family val="2"/>
      <scheme val="minor"/>
    </font>
    <font>
      <b/>
      <u/>
      <sz val="12"/>
      <color theme="4" tint="-0.249977111117893"/>
      <name val="Segoe UI"/>
      <family val="2"/>
      <scheme val="minor"/>
    </font>
    <font>
      <sz val="12"/>
      <color theme="1"/>
      <name val="Segoe UI"/>
      <family val="2"/>
      <scheme val="minor"/>
    </font>
    <font>
      <i/>
      <sz val="10"/>
      <name val="Segoe UI"/>
      <family val="2"/>
      <scheme val="minor"/>
    </font>
    <font>
      <i/>
      <sz val="10"/>
      <color theme="1"/>
      <name val="Segoe UI"/>
      <family val="2"/>
      <scheme val="minor"/>
    </font>
    <font>
      <b/>
      <sz val="14"/>
      <color theme="1"/>
      <name val="Segoe UI"/>
      <family val="2"/>
      <scheme val="minor"/>
    </font>
    <font>
      <b/>
      <u/>
      <sz val="11"/>
      <color theme="1"/>
      <name val="Segoe UI"/>
      <family val="2"/>
      <scheme val="minor"/>
    </font>
    <font>
      <b/>
      <u/>
      <sz val="11"/>
      <color rgb="FFFF0000"/>
      <name val="Segoe UI"/>
      <family val="2"/>
      <scheme val="minor"/>
    </font>
    <font>
      <b/>
      <u/>
      <sz val="14"/>
      <color rgb="FFFF0000"/>
      <name val="Segoe UI"/>
      <family val="2"/>
      <scheme val="minor"/>
    </font>
    <font>
      <i/>
      <sz val="9"/>
      <color theme="1"/>
      <name val="Segoe UI"/>
      <family val="2"/>
    </font>
    <font>
      <b/>
      <sz val="16"/>
      <color rgb="FF1F4E78"/>
      <name val="Segoe UI"/>
      <family val="2"/>
      <scheme val="minor"/>
    </font>
    <font>
      <b/>
      <sz val="11"/>
      <color rgb="FF1F4E78"/>
      <name val="Segoe UI"/>
      <family val="2"/>
      <scheme val="minor"/>
    </font>
    <font>
      <sz val="11"/>
      <color rgb="FF1F4E78"/>
      <name val="Segoe UI"/>
      <family val="2"/>
      <scheme val="minor"/>
    </font>
    <font>
      <sz val="10"/>
      <color theme="1" tint="0.499984740745262"/>
      <name val="Segoe UI"/>
      <family val="2"/>
      <scheme val="minor"/>
    </font>
    <font>
      <b/>
      <sz val="9"/>
      <name val="Segoe UI"/>
      <family val="2"/>
      <scheme val="minor"/>
    </font>
    <font>
      <i/>
      <sz val="10"/>
      <color theme="1"/>
      <name val="Segoe UI"/>
      <family val="2"/>
    </font>
    <font>
      <b/>
      <sz val="11"/>
      <color rgb="FFFF0000"/>
      <name val="Segoe UI"/>
      <family val="2"/>
    </font>
    <font>
      <b/>
      <i/>
      <sz val="11"/>
      <color theme="1"/>
      <name val="Segoe UI"/>
      <family val="2"/>
    </font>
    <font>
      <i/>
      <sz val="11"/>
      <color rgb="FFFF0000"/>
      <name val="Segoe UI"/>
      <family val="2"/>
    </font>
    <font>
      <b/>
      <sz val="16"/>
      <color rgb="FFC00000"/>
      <name val="Segoe UI"/>
      <family val="2"/>
    </font>
    <font>
      <i/>
      <u/>
      <sz val="11"/>
      <name val="Segoe UI"/>
      <family val="2"/>
      <scheme val="minor"/>
    </font>
    <font>
      <b/>
      <u/>
      <sz val="11"/>
      <color theme="10"/>
      <name val="Segoe UI"/>
      <family val="2"/>
      <scheme val="minor"/>
    </font>
    <font>
      <b/>
      <u/>
      <sz val="11"/>
      <name val="Segoe UI"/>
      <family val="2"/>
      <scheme val="minor"/>
    </font>
    <font>
      <b/>
      <sz val="11"/>
      <color rgb="FF000000"/>
      <name val="Segoe UI"/>
      <family val="2"/>
      <scheme val="minor"/>
    </font>
    <font>
      <sz val="14"/>
      <color theme="1"/>
      <name val="Segoe UI"/>
      <family val="2"/>
      <scheme val="minor"/>
    </font>
    <font>
      <b/>
      <u/>
      <sz val="12"/>
      <name val="Segoe UI"/>
      <family val="2"/>
      <scheme val="minor"/>
    </font>
    <font>
      <b/>
      <sz val="14"/>
      <color theme="4" tint="-0.249977111117893"/>
      <name val="Segoe UI"/>
      <family val="2"/>
      <scheme val="minor"/>
    </font>
    <font>
      <sz val="10"/>
      <color theme="4" tint="-0.249977111117893"/>
      <name val="Segoe UI"/>
      <family val="2"/>
      <scheme val="minor"/>
    </font>
    <font>
      <i/>
      <sz val="12"/>
      <name val="Segoe UI"/>
      <family val="2"/>
      <scheme val="minor"/>
    </font>
    <font>
      <sz val="10"/>
      <color rgb="FFFF0000"/>
      <name val="Segoe UI"/>
      <family val="2"/>
      <scheme val="minor"/>
    </font>
    <font>
      <b/>
      <u/>
      <sz val="11"/>
      <color theme="4" tint="-0.249977111117893"/>
      <name val="Segoe UI"/>
      <family val="2"/>
      <scheme val="minor"/>
    </font>
    <font>
      <b/>
      <sz val="10"/>
      <color theme="1"/>
      <name val="Segoe UI"/>
      <family val="2"/>
      <scheme val="minor"/>
    </font>
    <font>
      <b/>
      <i/>
      <sz val="18"/>
      <color theme="8" tint="-0.499984740745262"/>
      <name val="Segoe UI"/>
      <family val="2"/>
      <scheme val="minor"/>
    </font>
    <font>
      <b/>
      <sz val="22"/>
      <color theme="0"/>
      <name val="Segoe UI"/>
      <family val="2"/>
      <scheme val="minor"/>
    </font>
    <font>
      <b/>
      <u/>
      <sz val="12"/>
      <color theme="0"/>
      <name val="Segoe UI"/>
      <family val="2"/>
      <scheme val="minor"/>
    </font>
    <font>
      <u/>
      <sz val="14"/>
      <color theme="10"/>
      <name val="Segoe UI"/>
      <family val="2"/>
      <scheme val="minor"/>
    </font>
    <font>
      <b/>
      <u/>
      <sz val="14"/>
      <color theme="8" tint="-0.499984740745262"/>
      <name val="Segoe UI"/>
      <family val="2"/>
      <scheme val="minor"/>
    </font>
    <font>
      <b/>
      <sz val="11.5"/>
      <color theme="8" tint="-0.499984740745262"/>
      <name val="Segoe UI"/>
      <family val="2"/>
      <scheme val="minor"/>
    </font>
    <font>
      <sz val="14"/>
      <color rgb="FF7030A0"/>
      <name val="Segoe UI"/>
      <family val="2"/>
      <scheme val="minor"/>
    </font>
    <font>
      <i/>
      <sz val="11"/>
      <color theme="1" tint="0.249977111117893"/>
      <name val="Segoe UI"/>
      <family val="2"/>
      <scheme val="minor"/>
    </font>
    <font>
      <b/>
      <sz val="10"/>
      <color rgb="FFFF0000"/>
      <name val="Segoe UI"/>
      <family val="2"/>
      <scheme val="minor"/>
    </font>
    <font>
      <i/>
      <sz val="9"/>
      <color rgb="FFFF0000"/>
      <name val="Segoe UI"/>
      <family val="2"/>
      <scheme val="minor"/>
    </font>
    <font>
      <b/>
      <i/>
      <sz val="20"/>
      <name val="Segoe UI"/>
      <family val="2"/>
    </font>
    <font>
      <b/>
      <i/>
      <sz val="13"/>
      <name val="Segoe UI"/>
      <family val="2"/>
    </font>
    <font>
      <sz val="12"/>
      <name val="Segoe UI"/>
      <family val="2"/>
    </font>
    <font>
      <b/>
      <i/>
      <sz val="13"/>
      <color theme="0"/>
      <name val="Segoe UI"/>
      <family val="2"/>
    </font>
    <font>
      <b/>
      <i/>
      <u/>
      <sz val="11"/>
      <color theme="1"/>
      <name val="Segoe UI"/>
      <family val="2"/>
      <scheme val="minor"/>
    </font>
    <font>
      <sz val="11"/>
      <color theme="1" tint="0.499984740745262"/>
      <name val="Segoe UI"/>
      <family val="2"/>
    </font>
    <font>
      <b/>
      <sz val="11"/>
      <color theme="1" tint="0.34998626667073579"/>
      <name val="Segoe UI"/>
      <family val="2"/>
    </font>
    <font>
      <sz val="11"/>
      <color theme="1" tint="0.34998626667073579"/>
      <name val="Segoe UI"/>
      <family val="2"/>
    </font>
    <font>
      <b/>
      <i/>
      <sz val="10"/>
      <color theme="1" tint="0.34998626667073579"/>
      <name val="Segoe UI"/>
      <family val="2"/>
    </font>
    <font>
      <sz val="10"/>
      <color theme="1" tint="0.34998626667073579"/>
      <name val="Segoe UI"/>
      <family val="2"/>
    </font>
    <font>
      <b/>
      <sz val="10"/>
      <color theme="1" tint="0.34998626667073579"/>
      <name val="Segoe UI"/>
      <family val="2"/>
    </font>
    <font>
      <b/>
      <sz val="11"/>
      <color rgb="FF1F4E78"/>
      <name val="Segoe UI"/>
      <family val="2"/>
    </font>
    <font>
      <sz val="11"/>
      <color rgb="FF000000"/>
      <name val="Segoe UI"/>
      <family val="2"/>
      <scheme val="minor"/>
    </font>
    <font>
      <b/>
      <sz val="24"/>
      <color theme="8" tint="-0.499984740745262"/>
      <name val="Century Gothic"/>
      <family val="2"/>
    </font>
    <font>
      <sz val="11"/>
      <color rgb="FF548235"/>
      <name val="Segoe UI"/>
      <family val="2"/>
      <scheme val="minor"/>
    </font>
    <font>
      <u/>
      <sz val="12"/>
      <color theme="10"/>
      <name val="Segoe UI"/>
      <family val="2"/>
      <scheme val="minor"/>
    </font>
    <font>
      <b/>
      <sz val="36"/>
      <color rgb="FF002060"/>
      <name val="Century Gothic"/>
      <family val="2"/>
    </font>
    <font>
      <sz val="11"/>
      <color rgb="FF002060"/>
      <name val="Century Gothic"/>
      <family val="2"/>
    </font>
    <font>
      <b/>
      <sz val="20"/>
      <color rgb="FF002060"/>
      <name val="Century Gothic"/>
      <family val="2"/>
    </font>
    <font>
      <b/>
      <sz val="18"/>
      <color rgb="FF002060"/>
      <name val="Century Gothic"/>
      <family val="2"/>
    </font>
    <font>
      <b/>
      <sz val="18"/>
      <color theme="5"/>
      <name val="Century Gothic"/>
      <family val="2"/>
    </font>
    <font>
      <b/>
      <sz val="16"/>
      <name val="Century Gothic"/>
      <family val="2"/>
    </font>
    <font>
      <b/>
      <sz val="11"/>
      <color theme="5"/>
      <name val="Century Gothic"/>
      <family val="2"/>
    </font>
    <font>
      <b/>
      <sz val="9"/>
      <color rgb="FF58593F"/>
      <name val="Segoe UI"/>
      <family val="2"/>
      <scheme val="minor"/>
    </font>
    <font>
      <i/>
      <sz val="11.5"/>
      <color theme="1"/>
      <name val="Segoe UI"/>
      <family val="2"/>
    </font>
    <font>
      <u/>
      <sz val="12"/>
      <color theme="1"/>
      <name val="Segoe UI"/>
      <family val="2"/>
      <scheme val="minor"/>
    </font>
    <font>
      <sz val="11"/>
      <color rgb="FF00B0F0"/>
      <name val="Segoe UI"/>
      <family val="2"/>
      <scheme val="minor"/>
    </font>
    <font>
      <sz val="11"/>
      <color theme="4"/>
      <name val="Segoe UI"/>
      <family val="2"/>
      <scheme val="minor"/>
    </font>
    <font>
      <b/>
      <sz val="18"/>
      <color rgb="FF000000"/>
      <name val="Segoe UI"/>
      <family val="2"/>
      <scheme val="minor"/>
    </font>
    <font>
      <b/>
      <sz val="11"/>
      <color rgb="FF600000"/>
      <name val="Segoe UI"/>
      <family val="2"/>
      <scheme val="minor"/>
    </font>
    <font>
      <b/>
      <sz val="18"/>
      <name val="Segoe UI"/>
      <family val="2"/>
      <scheme val="minor"/>
    </font>
    <font>
      <b/>
      <sz val="11"/>
      <color rgb="FF213368"/>
      <name val="Segoe UI"/>
      <family val="2"/>
      <scheme val="minor"/>
    </font>
    <font>
      <b/>
      <sz val="16"/>
      <color theme="0"/>
      <name val="Segoe UI"/>
      <family val="2"/>
      <scheme val="minor"/>
    </font>
    <font>
      <b/>
      <i/>
      <sz val="16"/>
      <color theme="0"/>
      <name val="Segoe UI"/>
      <family val="2"/>
      <scheme val="minor"/>
    </font>
    <font>
      <sz val="11"/>
      <color theme="7"/>
      <name val="Segoe UI"/>
      <family val="2"/>
    </font>
    <font>
      <sz val="11"/>
      <color theme="4" tint="-0.24994659260841701"/>
      <name val="Segoe UI"/>
      <family val="2"/>
      <scheme val="minor"/>
    </font>
    <font>
      <sz val="9"/>
      <color rgb="FF000000"/>
      <name val="Tahoma"/>
      <family val="2"/>
    </font>
    <font>
      <b/>
      <sz val="10"/>
      <color rgb="FF000000"/>
      <name val="Segoe UI"/>
      <family val="2"/>
      <scheme val="minor"/>
    </font>
    <font>
      <sz val="10"/>
      <color rgb="FF000000"/>
      <name val="Segoe UI"/>
      <family val="2"/>
      <scheme val="minor"/>
    </font>
    <font>
      <sz val="10"/>
      <color rgb="FF000000"/>
      <name val="Tahoma"/>
      <family val="2"/>
    </font>
    <font>
      <b/>
      <sz val="9"/>
      <color rgb="FF000000"/>
      <name val="Tahoma"/>
      <family val="2"/>
    </font>
    <font>
      <i/>
      <u/>
      <sz val="11"/>
      <color theme="1"/>
      <name val="Segoe UI"/>
      <family val="2"/>
    </font>
    <font>
      <b/>
      <sz val="11"/>
      <color theme="5"/>
      <name val="Segoe UI"/>
      <family val="2"/>
      <scheme val="minor"/>
    </font>
    <font>
      <i/>
      <sz val="11"/>
      <color rgb="FF58593F"/>
      <name val="Segoe UI"/>
      <family val="2"/>
      <scheme val="minor"/>
    </font>
    <font>
      <sz val="11"/>
      <color rgb="FF00B050"/>
      <name val="Segoe UI"/>
      <family val="2"/>
      <scheme val="minor"/>
    </font>
  </fonts>
  <fills count="1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BFBFBF"/>
        <bgColor indexed="64"/>
      </patternFill>
    </fill>
    <fill>
      <patternFill patternType="solid">
        <fgColor rgb="FFFFFFFF"/>
        <bgColor indexed="64"/>
      </patternFill>
    </fill>
    <fill>
      <patternFill patternType="solid">
        <fgColor rgb="FFFFF2CC"/>
        <bgColor indexed="64"/>
      </patternFill>
    </fill>
    <fill>
      <patternFill patternType="solid">
        <fgColor rgb="FFE7E6E6"/>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5"/>
        <bgColor indexed="64"/>
      </patternFill>
    </fill>
    <fill>
      <patternFill patternType="solid">
        <fgColor theme="3" tint="0.59999389629810485"/>
        <bgColor indexed="64"/>
      </patternFill>
    </fill>
    <fill>
      <patternFill patternType="solid">
        <fgColor rgb="FFFFF9D9"/>
        <bgColor indexed="64"/>
      </patternFill>
    </fill>
    <fill>
      <patternFill patternType="solid">
        <fgColor rgb="FF1F4E78"/>
        <bgColor indexed="64"/>
      </patternFill>
    </fill>
  </fills>
  <borders count="2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theme="2"/>
      </top>
      <bottom style="thin">
        <color theme="2"/>
      </bottom>
      <diagonal/>
    </border>
    <border>
      <left style="thin">
        <color theme="2"/>
      </left>
      <right style="thin">
        <color theme="2"/>
      </right>
      <top style="thin">
        <color theme="2"/>
      </top>
      <bottom style="thin">
        <color them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right/>
      <top style="thick">
        <color theme="2"/>
      </top>
      <bottom/>
      <diagonal/>
    </border>
    <border>
      <left/>
      <right/>
      <top/>
      <bottom style="thin">
        <color theme="2"/>
      </bottom>
      <diagonal/>
    </border>
    <border>
      <left/>
      <right/>
      <top/>
      <bottom style="double">
        <color indexed="64"/>
      </bottom>
      <diagonal/>
    </border>
    <border>
      <left/>
      <right/>
      <top style="double">
        <color indexed="64"/>
      </top>
      <bottom style="thin">
        <color indexed="64"/>
      </bottom>
      <diagonal/>
    </border>
    <border>
      <left style="thin">
        <color theme="3" tint="0.79998168889431442"/>
      </left>
      <right/>
      <top style="thin">
        <color theme="3" tint="0.79998168889431442"/>
      </top>
      <bottom style="thin">
        <color theme="3" tint="0.79998168889431442"/>
      </bottom>
      <diagonal/>
    </border>
    <border>
      <left/>
      <right/>
      <top style="thin">
        <color theme="2"/>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theme="3" tint="0.79998168889431442"/>
      </right>
      <top style="thin">
        <color theme="3" tint="0.79998168889431442"/>
      </top>
      <bottom style="thin">
        <color theme="3" tint="0.79998168889431442"/>
      </bottom>
      <diagonal/>
    </border>
    <border>
      <left style="thin">
        <color theme="2"/>
      </left>
      <right/>
      <top style="thin">
        <color theme="3" tint="0.79998168889431442"/>
      </top>
      <bottom style="thin">
        <color theme="2"/>
      </bottom>
      <diagonal/>
    </border>
    <border>
      <left/>
      <right style="thin">
        <color theme="2"/>
      </right>
      <top style="thin">
        <color theme="3" tint="0.79998168889431442"/>
      </top>
      <bottom style="thin">
        <color theme="2"/>
      </bottom>
      <diagonal/>
    </border>
    <border>
      <left style="thin">
        <color theme="2"/>
      </left>
      <right/>
      <top style="thin">
        <color theme="2"/>
      </top>
      <bottom style="thin">
        <color theme="2"/>
      </bottom>
      <diagonal/>
    </border>
    <border>
      <left/>
      <right style="thin">
        <color theme="2"/>
      </right>
      <top style="thin">
        <color theme="2"/>
      </top>
      <bottom style="thin">
        <color theme="2"/>
      </bottom>
      <diagonal/>
    </border>
    <border>
      <left/>
      <right/>
      <top/>
      <bottom style="thin">
        <color theme="0" tint="-0.14999847407452621"/>
      </bottom>
      <diagonal/>
    </border>
    <border>
      <left/>
      <right/>
      <top style="thin">
        <color theme="0" tint="-0.14999847407452621"/>
      </top>
      <bottom/>
      <diagonal/>
    </border>
    <border>
      <left/>
      <right style="thin">
        <color theme="0" tint="-0.14999847407452621"/>
      </right>
      <top/>
      <bottom/>
      <diagonal/>
    </border>
    <border>
      <left/>
      <right style="thin">
        <color theme="0" tint="-0.14999847407452621"/>
      </right>
      <top/>
      <bottom style="thin">
        <color theme="0"/>
      </bottom>
      <diagonal/>
    </border>
    <border>
      <left/>
      <right style="thin">
        <color theme="0" tint="-0.14999847407452621"/>
      </right>
      <top style="thick">
        <color theme="2"/>
      </top>
      <bottom/>
      <diagonal/>
    </border>
    <border>
      <left/>
      <right style="thin">
        <color theme="0" tint="-0.14999847407452621"/>
      </right>
      <top style="thin">
        <color theme="2"/>
      </top>
      <bottom style="thin">
        <color theme="2"/>
      </bottom>
      <diagonal/>
    </border>
    <border>
      <left/>
      <right style="thin">
        <color theme="0" tint="-0.14999847407452621"/>
      </right>
      <top style="thin">
        <color theme="2"/>
      </top>
      <bottom/>
      <diagonal/>
    </border>
    <border>
      <left/>
      <right style="thin">
        <color theme="0" tint="-0.14999847407452621"/>
      </right>
      <top/>
      <bottom style="thin">
        <color theme="2"/>
      </bottom>
      <diagonal/>
    </border>
    <border>
      <left/>
      <right style="thin">
        <color theme="0" tint="-0.14999847407452621"/>
      </right>
      <top style="thin">
        <color theme="0" tint="-0.14999847407452621"/>
      </top>
      <bottom/>
      <diagonal/>
    </border>
    <border>
      <left/>
      <right style="thin">
        <color theme="0" tint="-0.14999847407452621"/>
      </right>
      <top style="double">
        <color indexed="64"/>
      </top>
      <bottom style="thin">
        <color indexed="64"/>
      </bottom>
      <diagonal/>
    </border>
    <border>
      <left/>
      <right style="thin">
        <color theme="0" tint="-0.14999847407452621"/>
      </right>
      <top/>
      <bottom style="double">
        <color indexed="64"/>
      </bottom>
      <diagonal/>
    </border>
    <border>
      <left style="thin">
        <color theme="0" tint="-0.14999847407452621"/>
      </left>
      <right/>
      <top/>
      <bottom/>
      <diagonal/>
    </border>
    <border>
      <left style="thin">
        <color theme="0" tint="-0.14999847407452621"/>
      </left>
      <right style="thin">
        <color theme="2"/>
      </right>
      <top style="thin">
        <color theme="2"/>
      </top>
      <bottom style="thin">
        <color theme="2"/>
      </bottom>
      <diagonal/>
    </border>
    <border>
      <left style="thin">
        <color theme="0" tint="-0.14999847407452621"/>
      </left>
      <right/>
      <top style="thick">
        <color theme="2"/>
      </top>
      <bottom/>
      <diagonal/>
    </border>
    <border>
      <left style="thin">
        <color theme="0" tint="-0.14999847407452621"/>
      </left>
      <right/>
      <top style="thin">
        <color theme="2"/>
      </top>
      <bottom style="thin">
        <color theme="2"/>
      </bottom>
      <diagonal/>
    </border>
    <border>
      <left style="thin">
        <color theme="0" tint="-0.14999847407452621"/>
      </left>
      <right/>
      <top style="thin">
        <color theme="2"/>
      </top>
      <bottom/>
      <diagonal/>
    </border>
    <border>
      <left style="thin">
        <color theme="0" tint="-0.14999847407452621"/>
      </left>
      <right/>
      <top style="thin">
        <color theme="0" tint="-0.14999847407452621"/>
      </top>
      <bottom/>
      <diagonal/>
    </border>
    <border>
      <left style="thin">
        <color theme="0" tint="-0.14999847407452621"/>
      </left>
      <right/>
      <top style="double">
        <color indexed="64"/>
      </top>
      <bottom style="thin">
        <color indexed="64"/>
      </bottom>
      <diagonal/>
    </border>
    <border>
      <left style="thin">
        <color theme="0" tint="-0.14999847407452621"/>
      </left>
      <right/>
      <top/>
      <bottom style="double">
        <color indexed="64"/>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right style="thin">
        <color theme="0" tint="-0.14999847407452621"/>
      </right>
      <top style="thin">
        <color theme="0"/>
      </top>
      <bottom/>
      <diagonal/>
    </border>
    <border>
      <left style="thin">
        <color theme="0" tint="-0.14999847407452621"/>
      </left>
      <right style="thin">
        <color theme="3" tint="0.79998168889431442"/>
      </right>
      <top style="thin">
        <color theme="3" tint="0.79998168889431442"/>
      </top>
      <bottom style="thin">
        <color theme="3" tint="0.79998168889431442"/>
      </bottom>
      <diagonal/>
    </border>
    <border>
      <left style="thin">
        <color theme="3" tint="0.79998168889431442"/>
      </left>
      <right style="thin">
        <color theme="0" tint="-0.14999847407452621"/>
      </right>
      <top style="thin">
        <color theme="3" tint="0.79998168889431442"/>
      </top>
      <bottom style="thin">
        <color theme="3" tint="0.79998168889431442"/>
      </bottom>
      <diagonal/>
    </border>
    <border>
      <left style="thin">
        <color theme="2"/>
      </left>
      <right style="thin">
        <color theme="0" tint="-0.14999847407452621"/>
      </right>
      <top style="thin">
        <color theme="2"/>
      </top>
      <bottom style="thin">
        <color theme="2"/>
      </bottom>
      <diagonal/>
    </border>
    <border>
      <left style="thin">
        <color theme="0" tint="-0.14999847407452621"/>
      </left>
      <right/>
      <top/>
      <bottom style="thin">
        <color theme="2"/>
      </bottom>
      <diagonal/>
    </border>
    <border>
      <left style="thin">
        <color theme="0" tint="-0.14999847407452621"/>
      </left>
      <right/>
      <top style="thin">
        <color indexed="64"/>
      </top>
      <bottom style="thin">
        <color indexed="64"/>
      </bottom>
      <diagonal/>
    </border>
    <border>
      <left/>
      <right style="thin">
        <color theme="0" tint="-0.14999847407452621"/>
      </right>
      <top style="thin">
        <color indexed="64"/>
      </top>
      <bottom style="thin">
        <color indexed="64"/>
      </bottom>
      <diagonal/>
    </border>
    <border>
      <left style="thin">
        <color theme="0" tint="-0.14999847407452621"/>
      </left>
      <right/>
      <top style="thin">
        <color theme="2"/>
      </top>
      <bottom style="thick">
        <color theme="2"/>
      </bottom>
      <diagonal/>
    </border>
    <border>
      <left/>
      <right style="thin">
        <color theme="0" tint="-0.14999847407452621"/>
      </right>
      <top/>
      <bottom style="thin">
        <color indexed="64"/>
      </bottom>
      <diagonal/>
    </border>
    <border>
      <left style="thin">
        <color theme="0" tint="-0.14999847407452621"/>
      </left>
      <right/>
      <top/>
      <bottom style="thin">
        <color indexed="64"/>
      </bottom>
      <diagonal/>
    </border>
    <border>
      <left style="thin">
        <color indexed="64"/>
      </left>
      <right style="thin">
        <color indexed="64"/>
      </right>
      <top style="thin">
        <color indexed="64"/>
      </top>
      <bottom/>
      <diagonal/>
    </border>
    <border>
      <left/>
      <right/>
      <top/>
      <bottom style="thin">
        <color theme="3" tint="0.79998168889431442"/>
      </bottom>
      <diagonal/>
    </border>
    <border>
      <left style="thin">
        <color theme="2"/>
      </left>
      <right/>
      <top/>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style="thin">
        <color theme="2"/>
      </right>
      <top/>
      <bottom style="thin">
        <color theme="2"/>
      </bottom>
      <diagonal/>
    </border>
    <border>
      <left/>
      <right/>
      <top/>
      <bottom style="thin">
        <color rgb="FF000000"/>
      </bottom>
      <diagonal/>
    </border>
    <border>
      <left style="thin">
        <color rgb="FFE7E6E6"/>
      </left>
      <right/>
      <top style="thin">
        <color rgb="FFE7E6E6"/>
      </top>
      <bottom/>
      <diagonal/>
    </border>
    <border>
      <left/>
      <right/>
      <top style="thin">
        <color rgb="FFE7E6E6"/>
      </top>
      <bottom/>
      <diagonal/>
    </border>
    <border>
      <left/>
      <right style="thin">
        <color rgb="FFE7E6E6"/>
      </right>
      <top style="thin">
        <color rgb="FFE7E6E6"/>
      </top>
      <bottom/>
      <diagonal/>
    </border>
    <border>
      <left/>
      <right style="thin">
        <color theme="0" tint="-0.14999847407452621"/>
      </right>
      <top style="double">
        <color indexed="64"/>
      </top>
      <bottom/>
      <diagonal/>
    </border>
    <border>
      <left style="thin">
        <color theme="0" tint="-0.14999847407452621"/>
      </left>
      <right/>
      <top/>
      <bottom style="thick">
        <color theme="2"/>
      </bottom>
      <diagonal/>
    </border>
    <border>
      <left/>
      <right style="thin">
        <color theme="0" tint="-0.14999847407452621"/>
      </right>
      <top/>
      <bottom style="thick">
        <color theme="2"/>
      </bottom>
      <diagonal/>
    </border>
    <border>
      <left style="thin">
        <color theme="0" tint="-0.14999847407452621"/>
      </left>
      <right/>
      <top style="thin">
        <color theme="2"/>
      </top>
      <bottom style="thin">
        <color theme="0" tint="-0.14999847407452621"/>
      </bottom>
      <diagonal/>
    </border>
    <border>
      <left/>
      <right/>
      <top style="thin">
        <color theme="2"/>
      </top>
      <bottom style="thin">
        <color theme="0" tint="-0.14999847407452621"/>
      </bottom>
      <diagonal/>
    </border>
    <border>
      <left/>
      <right style="thin">
        <color theme="0" tint="-0.14999847407452621"/>
      </right>
      <top style="thin">
        <color theme="0" tint="-0.14999847407452621"/>
      </top>
      <bottom style="thin">
        <color indexed="64"/>
      </bottom>
      <diagonal/>
    </border>
    <border>
      <left style="thin">
        <color indexed="64"/>
      </left>
      <right/>
      <top style="thin">
        <color indexed="64"/>
      </top>
      <bottom/>
      <diagonal/>
    </border>
    <border>
      <left style="thin">
        <color theme="0" tint="-0.14999847407452621"/>
      </left>
      <right/>
      <top style="thin">
        <color theme="2"/>
      </top>
      <bottom style="thin">
        <color indexed="64"/>
      </bottom>
      <diagonal/>
    </border>
    <border>
      <left/>
      <right/>
      <top style="thin">
        <color theme="2"/>
      </top>
      <bottom style="thin">
        <color indexed="64"/>
      </bottom>
      <diagonal/>
    </border>
    <border>
      <left style="thin">
        <color theme="0" tint="-0.14999847407452621"/>
      </left>
      <right style="thin">
        <color theme="3" tint="0.79998168889431442"/>
      </right>
      <top/>
      <bottom style="thin">
        <color theme="3" tint="0.79998168889431442"/>
      </bottom>
      <diagonal/>
    </border>
    <border>
      <left style="thin">
        <color theme="0" tint="-0.14999847407452621"/>
      </left>
      <right style="thin">
        <color theme="2"/>
      </right>
      <top/>
      <bottom style="thin">
        <color theme="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2"/>
      </top>
      <bottom style="thin">
        <color theme="2"/>
      </bottom>
      <diagonal/>
    </border>
    <border>
      <left style="thin">
        <color rgb="FF000000"/>
      </left>
      <right/>
      <top style="thin">
        <color rgb="FF000000"/>
      </top>
      <bottom style="thin">
        <color rgb="FF000000"/>
      </bottom>
      <diagonal/>
    </border>
    <border>
      <left style="thin">
        <color theme="0" tint="-0.14999847407452621"/>
      </left>
      <right style="thin">
        <color theme="2"/>
      </right>
      <top style="thin">
        <color theme="2"/>
      </top>
      <bottom/>
      <diagonal/>
    </border>
    <border>
      <left/>
      <right style="thin">
        <color rgb="FF000000"/>
      </right>
      <top style="thin">
        <color rgb="FF000000"/>
      </top>
      <bottom/>
      <diagonal/>
    </border>
    <border>
      <left/>
      <right style="thin">
        <color theme="0" tint="-0.14999847407452621"/>
      </right>
      <top style="thin">
        <color theme="0" tint="-0.14999847407452621"/>
      </top>
      <bottom style="thin">
        <color theme="0" tint="-0.14999847407452621"/>
      </bottom>
      <diagonal/>
    </border>
    <border>
      <left/>
      <right style="thin">
        <color theme="0"/>
      </right>
      <top/>
      <bottom/>
      <diagonal/>
    </border>
    <border>
      <left style="thin">
        <color theme="0" tint="-0.14999847407452621"/>
      </left>
      <right style="thin">
        <color theme="0"/>
      </right>
      <top style="thin">
        <color theme="0" tint="-0.14999847407452621"/>
      </top>
      <bottom/>
      <diagonal/>
    </border>
    <border>
      <left style="thin">
        <color theme="0" tint="-0.14999847407452621"/>
      </left>
      <right style="thin">
        <color theme="0"/>
      </right>
      <top/>
      <bottom/>
      <diagonal/>
    </border>
    <border>
      <left style="thin">
        <color theme="0" tint="-0.14999847407452621"/>
      </left>
      <right style="thin">
        <color theme="0"/>
      </right>
      <top/>
      <bottom style="thin">
        <color theme="0" tint="-0.14999847407452621"/>
      </bottom>
      <diagonal/>
    </border>
    <border>
      <left/>
      <right style="thin">
        <color theme="0"/>
      </right>
      <top style="thin">
        <color theme="0" tint="-0.14999847407452621"/>
      </top>
      <bottom/>
      <diagonal/>
    </border>
    <border>
      <left/>
      <right style="thin">
        <color theme="0"/>
      </right>
      <top/>
      <bottom style="thin">
        <color theme="0" tint="-0.14999847407452621"/>
      </bottom>
      <diagonal/>
    </border>
    <border>
      <left style="thin">
        <color theme="2" tint="-9.9978637043366805E-2"/>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left>
      <right style="thin">
        <color theme="0" tint="-0.14999847407452621"/>
      </right>
      <top style="thin">
        <color theme="2"/>
      </top>
      <bottom/>
      <diagonal/>
    </border>
    <border>
      <left style="thin">
        <color rgb="FFE7E6E6"/>
      </left>
      <right/>
      <top style="thin">
        <color rgb="FFE7E6E6"/>
      </top>
      <bottom style="thin">
        <color rgb="FFE7E6E6"/>
      </bottom>
      <diagonal/>
    </border>
    <border>
      <left/>
      <right/>
      <top style="thin">
        <color rgb="FFE7E6E6"/>
      </top>
      <bottom style="thin">
        <color rgb="FFE7E6E6"/>
      </bottom>
      <diagonal/>
    </border>
    <border>
      <left/>
      <right style="thin">
        <color rgb="FFE7E6E6"/>
      </right>
      <top style="thin">
        <color rgb="FFE7E6E6"/>
      </top>
      <bottom style="thin">
        <color rgb="FFE7E6E6"/>
      </bottom>
      <diagonal/>
    </border>
    <border>
      <left style="thin">
        <color rgb="FFE7E6E6"/>
      </left>
      <right style="thin">
        <color rgb="FFE7E6E6"/>
      </right>
      <top style="thin">
        <color rgb="FFE7E6E6"/>
      </top>
      <bottom style="thin">
        <color rgb="FFE7E6E6"/>
      </bottom>
      <diagonal/>
    </border>
    <border>
      <left style="thin">
        <color rgb="FFE7E6E6"/>
      </left>
      <right style="thin">
        <color rgb="FFE7E6E6"/>
      </right>
      <top/>
      <bottom/>
      <diagonal/>
    </border>
    <border>
      <left style="thin">
        <color rgb="FFE7E6E6"/>
      </left>
      <right style="thin">
        <color rgb="FFE7E6E6"/>
      </right>
      <top/>
      <bottom style="thin">
        <color rgb="FFE7E6E6"/>
      </bottom>
      <diagonal/>
    </border>
    <border>
      <left style="thin">
        <color rgb="FFE7E6E6"/>
      </left>
      <right/>
      <top/>
      <bottom/>
      <diagonal/>
    </border>
    <border>
      <left style="thin">
        <color rgb="FFE7E6E6"/>
      </left>
      <right style="thin">
        <color theme="2"/>
      </right>
      <top style="thin">
        <color rgb="FFE7E6E6"/>
      </top>
      <bottom style="thin">
        <color rgb="FFE7E6E6"/>
      </bottom>
      <diagonal/>
    </border>
    <border>
      <left style="thin">
        <color rgb="FFE7E6E6"/>
      </left>
      <right style="thin">
        <color theme="2"/>
      </right>
      <top/>
      <bottom style="thin">
        <color rgb="FFE7E6E6"/>
      </bottom>
      <diagonal/>
    </border>
    <border>
      <left style="thin">
        <color theme="0" tint="-0.14999847407452621"/>
      </left>
      <right style="thin">
        <color theme="3" tint="0.79998168889431442"/>
      </right>
      <top style="thin">
        <color theme="3" tint="0.79998168889431442"/>
      </top>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bottom style="thin">
        <color theme="3" tint="0.79998168889431442"/>
      </bottom>
      <diagonal/>
    </border>
    <border>
      <left/>
      <right style="thin">
        <color theme="0" tint="-0.14999847407452621"/>
      </right>
      <top/>
      <bottom style="thin">
        <color theme="3" tint="0.79998168889431442"/>
      </bottom>
      <diagonal/>
    </border>
    <border>
      <left style="thin">
        <color theme="0" tint="-0.14999847407452621"/>
      </left>
      <right/>
      <top style="thin">
        <color rgb="FFE7E6E6"/>
      </top>
      <bottom style="thin">
        <color theme="0" tint="-0.14999847407452621"/>
      </bottom>
      <diagonal/>
    </border>
    <border>
      <left/>
      <right/>
      <top style="thin">
        <color rgb="FFE7E6E6"/>
      </top>
      <bottom style="thin">
        <color theme="0" tint="-0.14999847407452621"/>
      </bottom>
      <diagonal/>
    </border>
    <border>
      <left/>
      <right style="thin">
        <color theme="0" tint="-0.14999847407452621"/>
      </right>
      <top style="thin">
        <color theme="2"/>
      </top>
      <bottom style="thin">
        <color theme="0" tint="-0.14999847407452621"/>
      </bottom>
      <diagonal/>
    </border>
    <border>
      <left/>
      <right style="thin">
        <color indexed="64"/>
      </right>
      <top style="thin">
        <color indexed="64"/>
      </top>
      <bottom/>
      <diagonal/>
    </border>
    <border>
      <left/>
      <right style="thin">
        <color theme="2"/>
      </right>
      <top/>
      <bottom/>
      <diagonal/>
    </border>
    <border>
      <left/>
      <right style="thin">
        <color rgb="FF000000"/>
      </right>
      <top/>
      <bottom style="thin">
        <color rgb="FF000000"/>
      </bottom>
      <diagonal/>
    </border>
    <border>
      <left/>
      <right/>
      <top style="thin">
        <color indexed="64"/>
      </top>
      <bottom/>
      <diagonal/>
    </border>
    <border>
      <left style="thin">
        <color rgb="FF000000"/>
      </left>
      <right/>
      <top style="thin">
        <color rgb="FF000000"/>
      </top>
      <bottom/>
      <diagonal/>
    </border>
    <border>
      <left style="thin">
        <color indexed="64"/>
      </left>
      <right/>
      <top style="thin">
        <color rgb="FF000000"/>
      </top>
      <bottom/>
      <diagonal/>
    </border>
    <border>
      <left style="thin">
        <color indexed="64"/>
      </left>
      <right style="thin">
        <color rgb="FF000000"/>
      </right>
      <top style="thin">
        <color rgb="FF000000"/>
      </top>
      <bottom/>
      <diagonal/>
    </border>
    <border>
      <left style="thin">
        <color rgb="FF000000"/>
      </left>
      <right/>
      <top/>
      <bottom/>
      <diagonal/>
    </border>
    <border>
      <left style="thin">
        <color indexed="64"/>
      </left>
      <right style="thin">
        <color rgb="FF000000"/>
      </right>
      <top/>
      <bottom/>
      <diagonal/>
    </border>
    <border>
      <left style="thin">
        <color rgb="FF000000"/>
      </left>
      <right/>
      <top/>
      <bottom style="thin">
        <color rgb="FF000000"/>
      </bottom>
      <diagonal/>
    </border>
    <border>
      <left/>
      <right style="thin">
        <color rgb="FF000000"/>
      </right>
      <top/>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theme="2" tint="-9.9978637043366805E-2"/>
      </right>
      <top/>
      <bottom/>
      <diagonal/>
    </border>
    <border>
      <left style="thin">
        <color theme="3" tint="0.79998168889431442"/>
      </left>
      <right style="thin">
        <color theme="3" tint="0.79998168889431442"/>
      </right>
      <top/>
      <bottom style="thin">
        <color theme="3" tint="0.79998168889431442"/>
      </bottom>
      <diagonal/>
    </border>
    <border>
      <left style="thin">
        <color theme="3" tint="0.79998168889431442"/>
      </left>
      <right style="thin">
        <color theme="0" tint="-0.14999847407452621"/>
      </right>
      <top/>
      <bottom style="thin">
        <color theme="3" tint="0.79998168889431442"/>
      </bottom>
      <diagonal/>
    </border>
    <border>
      <left style="thin">
        <color theme="2"/>
      </left>
      <right/>
      <top style="thin">
        <color theme="2"/>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indexed="64"/>
      </bottom>
      <diagonal/>
    </border>
    <border>
      <left/>
      <right/>
      <top style="thin">
        <color theme="0" tint="-0.14999847407452621"/>
      </top>
      <bottom style="thin">
        <color indexed="64"/>
      </bottom>
      <diagonal/>
    </border>
    <border>
      <left/>
      <right/>
      <top style="thin">
        <color theme="0" tint="-0.14999847407452621"/>
      </top>
      <bottom style="thin">
        <color theme="0" tint="-0.14999847407452621"/>
      </bottom>
      <diagonal/>
    </border>
    <border>
      <left/>
      <right style="thin">
        <color rgb="FF000000"/>
      </right>
      <top/>
      <bottom style="thin">
        <color theme="0" tint="-0.14999847407452621"/>
      </bottom>
      <diagonal/>
    </border>
    <border>
      <left/>
      <right style="thin">
        <color theme="2"/>
      </right>
      <top/>
      <bottom style="thin">
        <color theme="2"/>
      </bottom>
      <diagonal/>
    </border>
    <border>
      <left/>
      <right style="thin">
        <color theme="2"/>
      </right>
      <top style="thin">
        <color theme="2"/>
      </top>
      <bottom/>
      <diagonal/>
    </border>
    <border>
      <left/>
      <right style="thin">
        <color theme="2"/>
      </right>
      <top/>
      <bottom style="thin">
        <color rgb="FF000000"/>
      </bottom>
      <diagonal/>
    </border>
    <border>
      <left style="thin">
        <color theme="2"/>
      </left>
      <right/>
      <top/>
      <bottom style="thin">
        <color rgb="FF000000"/>
      </bottom>
      <diagonal/>
    </border>
    <border>
      <left style="thin">
        <color theme="2"/>
      </left>
      <right/>
      <top/>
      <bottom style="thin">
        <color theme="2"/>
      </bottom>
      <diagonal/>
    </border>
    <border>
      <left style="thin">
        <color rgb="FF000000"/>
      </left>
      <right/>
      <top style="thin">
        <color indexed="64"/>
      </top>
      <bottom style="double">
        <color indexed="64"/>
      </bottom>
      <diagonal/>
    </border>
    <border>
      <left/>
      <right/>
      <top style="thin">
        <color indexed="64"/>
      </top>
      <bottom style="double">
        <color indexed="64"/>
      </bottom>
      <diagonal/>
    </border>
    <border>
      <left/>
      <right style="thin">
        <color rgb="FF000000"/>
      </right>
      <top style="thin">
        <color indexed="64"/>
      </top>
      <bottom style="double">
        <color indexed="64"/>
      </bottom>
      <diagonal/>
    </border>
    <border>
      <left/>
      <right style="thin">
        <color rgb="FFE7E6E6"/>
      </right>
      <top/>
      <bottom/>
      <diagonal/>
    </border>
    <border>
      <left style="thin">
        <color theme="2"/>
      </left>
      <right style="thin">
        <color theme="0" tint="-0.14999847407452621"/>
      </right>
      <top style="thin">
        <color theme="3" tint="0.79998168889431442"/>
      </top>
      <bottom style="thin">
        <color theme="2"/>
      </bottom>
      <diagonal/>
    </border>
    <border>
      <left style="thin">
        <color theme="3" tint="0.79998168889431442"/>
      </left>
      <right style="thin">
        <color theme="0" tint="-0.14999847407452621"/>
      </right>
      <top style="thin">
        <color theme="3" tint="0.79998168889431442"/>
      </top>
      <bottom/>
      <diagonal/>
    </border>
    <border>
      <left style="thin">
        <color theme="2"/>
      </left>
      <right style="thin">
        <color theme="0" tint="-0.14999847407452621"/>
      </right>
      <top/>
      <bottom style="thin">
        <color theme="2"/>
      </bottom>
      <diagonal/>
    </border>
    <border>
      <left/>
      <right/>
      <top style="thick">
        <color theme="0" tint="-0.14999847407452621"/>
      </top>
      <bottom/>
      <diagonal/>
    </border>
    <border>
      <left style="thin">
        <color theme="0" tint="-0.14999847407452621"/>
      </left>
      <right/>
      <top style="thick">
        <color theme="0" tint="-0.14999847407452621"/>
      </top>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ck">
        <color theme="0" tint="-0.14999847407452621"/>
      </top>
      <bottom/>
      <diagonal/>
    </border>
    <border>
      <left style="thin">
        <color theme="0" tint="-0.14999847407452621"/>
      </left>
      <right style="thin">
        <color theme="0" tint="-0.14999847407452621"/>
      </right>
      <top style="thin">
        <color theme="0" tint="-0.14999847407452621"/>
      </top>
      <bottom style="thin">
        <color theme="2"/>
      </bottom>
      <diagonal/>
    </border>
    <border>
      <left style="thin">
        <color theme="0" tint="-0.14999847407452621"/>
      </left>
      <right/>
      <top style="thin">
        <color theme="0" tint="-0.14999847407452621"/>
      </top>
      <bottom style="thin">
        <color indexed="64"/>
      </bottom>
      <diagonal/>
    </border>
    <border>
      <left style="thin">
        <color indexed="64"/>
      </left>
      <right/>
      <top/>
      <bottom style="thin">
        <color indexed="64"/>
      </bottom>
      <diagonal/>
    </border>
    <border>
      <left style="thin">
        <color theme="0" tint="-0.14999847407452621"/>
      </left>
      <right/>
      <top style="double">
        <color indexed="64"/>
      </top>
      <bottom/>
      <diagonal/>
    </border>
    <border>
      <left/>
      <right/>
      <top style="double">
        <color indexed="64"/>
      </top>
      <bottom/>
      <diagonal/>
    </border>
    <border>
      <left style="thin">
        <color theme="0" tint="-0.14999847407452621"/>
      </left>
      <right/>
      <top/>
      <bottom style="thin">
        <color rgb="FF000000"/>
      </bottom>
      <diagonal/>
    </border>
    <border>
      <left style="thin">
        <color theme="0" tint="-0.14999847407452621"/>
      </left>
      <right style="thin">
        <color theme="0" tint="-0.14999847407452621"/>
      </right>
      <top/>
      <bottom style="thin">
        <color rgb="FF000000"/>
      </bottom>
      <diagonal/>
    </border>
    <border>
      <left style="thin">
        <color rgb="FFE7E6E6"/>
      </left>
      <right style="thin">
        <color theme="2"/>
      </right>
      <top/>
      <bottom/>
      <diagonal/>
    </border>
    <border>
      <left style="thin">
        <color theme="0" tint="-0.14999847407452621"/>
      </left>
      <right style="thin">
        <color theme="0" tint="-0.14999847407452621"/>
      </right>
      <top style="thin">
        <color theme="2"/>
      </top>
      <bottom/>
      <diagonal/>
    </border>
    <border>
      <left style="thin">
        <color theme="0" tint="-0.14999847407452621"/>
      </left>
      <right/>
      <top style="thin">
        <color rgb="FFE7E6E6"/>
      </top>
      <bottom style="thin">
        <color theme="2"/>
      </bottom>
      <diagonal/>
    </border>
    <border>
      <left style="thin">
        <color theme="0" tint="-0.14999847407452621"/>
      </left>
      <right style="thin">
        <color theme="2"/>
      </right>
      <top style="thin">
        <color theme="2"/>
      </top>
      <bottom style="thin">
        <color theme="0" tint="-0.14999847407452621"/>
      </bottom>
      <diagonal/>
    </border>
    <border>
      <left style="thin">
        <color rgb="FF000000"/>
      </left>
      <right/>
      <top/>
      <bottom style="thin">
        <color theme="0" tint="-0.14999847407452621"/>
      </bottom>
      <diagonal/>
    </border>
    <border>
      <left/>
      <right style="thin">
        <color theme="0" tint="-0.14999847407452621"/>
      </right>
      <top style="thin">
        <color theme="0" tint="-0.14999847407452621"/>
      </top>
      <bottom style="thin">
        <color rgb="FF000000"/>
      </bottom>
      <diagonal/>
    </border>
    <border>
      <left style="thin">
        <color theme="0" tint="-0.14999847407452621"/>
      </left>
      <right/>
      <top style="thin">
        <color theme="0" tint="-0.14999847407452621"/>
      </top>
      <bottom style="thin">
        <color rgb="FF000000"/>
      </bottom>
      <diagonal/>
    </border>
    <border>
      <left style="thin">
        <color theme="0" tint="-0.14999847407452621"/>
      </left>
      <right style="thin">
        <color theme="0" tint="-0.14999847407452621"/>
      </right>
      <top/>
      <bottom style="thick">
        <color theme="2"/>
      </bottom>
      <diagonal/>
    </border>
    <border>
      <left/>
      <right style="thin">
        <color theme="0" tint="-0.14999847407452621"/>
      </right>
      <top/>
      <bottom style="thin">
        <color rgb="FF000000"/>
      </bottom>
      <diagonal/>
    </border>
    <border>
      <left/>
      <right style="thin">
        <color theme="2"/>
      </right>
      <top style="thin">
        <color theme="0" tint="-0.14999847407452621"/>
      </top>
      <bottom style="thin">
        <color theme="2"/>
      </bottom>
      <diagonal/>
    </border>
    <border>
      <left/>
      <right style="thin">
        <color theme="2"/>
      </right>
      <top/>
      <bottom style="thin">
        <color theme="0" tint="-0.14999847407452621"/>
      </bottom>
      <diagonal/>
    </border>
    <border>
      <left/>
      <right style="thin">
        <color theme="2"/>
      </right>
      <top style="thin">
        <color theme="2"/>
      </top>
      <bottom style="thin">
        <color indexed="64"/>
      </bottom>
      <diagonal/>
    </border>
    <border>
      <left/>
      <right style="thin">
        <color theme="2"/>
      </right>
      <top style="thin">
        <color indexed="64"/>
      </top>
      <bottom style="thin">
        <color indexed="64"/>
      </bottom>
      <diagonal/>
    </border>
    <border>
      <left/>
      <right style="thin">
        <color theme="2"/>
      </right>
      <top style="thin">
        <color indexed="64"/>
      </top>
      <bottom style="double">
        <color indexed="64"/>
      </bottom>
      <diagonal/>
    </border>
    <border>
      <left/>
      <right style="thin">
        <color theme="2"/>
      </right>
      <top style="double">
        <color indexed="64"/>
      </top>
      <bottom style="thin">
        <color indexed="64"/>
      </bottom>
      <diagonal/>
    </border>
    <border>
      <left/>
      <right style="thin">
        <color theme="2"/>
      </right>
      <top style="thin">
        <color indexed="64"/>
      </top>
      <bottom/>
      <diagonal/>
    </border>
    <border>
      <left/>
      <right/>
      <top style="thin">
        <color rgb="FFE7E6E6"/>
      </top>
      <bottom style="thin">
        <color theme="2"/>
      </bottom>
      <diagonal/>
    </border>
    <border>
      <left style="thin">
        <color rgb="FF000000"/>
      </left>
      <right style="thin">
        <color rgb="FFE7E6E6"/>
      </right>
      <top style="thin">
        <color rgb="FFE7E6E6"/>
      </top>
      <bottom style="thin">
        <color rgb="FFE7E6E6"/>
      </bottom>
      <diagonal/>
    </border>
    <border>
      <left style="thin">
        <color rgb="FFE7E6E6"/>
      </left>
      <right style="thin">
        <color rgb="FF000000"/>
      </right>
      <top style="thin">
        <color rgb="FFE7E6E6"/>
      </top>
      <bottom style="thin">
        <color rgb="FFE7E6E6"/>
      </bottom>
      <diagonal/>
    </border>
    <border>
      <left style="thin">
        <color rgb="FF000000"/>
      </left>
      <right style="thin">
        <color rgb="FFE7E6E6"/>
      </right>
      <top style="thin">
        <color rgb="FFE7E6E6"/>
      </top>
      <bottom style="thin">
        <color rgb="FF000000"/>
      </bottom>
      <diagonal/>
    </border>
    <border>
      <left style="thin">
        <color rgb="FFE7E6E6"/>
      </left>
      <right style="thin">
        <color rgb="FFE7E6E6"/>
      </right>
      <top style="thin">
        <color rgb="FFE7E6E6"/>
      </top>
      <bottom style="thin">
        <color rgb="FF000000"/>
      </bottom>
      <diagonal/>
    </border>
    <border>
      <left style="thin">
        <color rgb="FFE7E6E6"/>
      </left>
      <right style="thin">
        <color rgb="FF000000"/>
      </right>
      <top style="thin">
        <color rgb="FFE7E6E6"/>
      </top>
      <bottom style="thin">
        <color rgb="FF000000"/>
      </bottom>
      <diagonal/>
    </border>
    <border>
      <left style="thin">
        <color rgb="FF000000"/>
      </left>
      <right/>
      <top style="thin">
        <color rgb="FF000000"/>
      </top>
      <bottom style="thin">
        <color rgb="FFE7E6E6"/>
      </bottom>
      <diagonal/>
    </border>
    <border>
      <left/>
      <right/>
      <top style="thin">
        <color rgb="FF000000"/>
      </top>
      <bottom style="thin">
        <color rgb="FFE7E6E6"/>
      </bottom>
      <diagonal/>
    </border>
    <border>
      <left/>
      <right style="thin">
        <color rgb="FF000000"/>
      </right>
      <top style="thin">
        <color rgb="FF000000"/>
      </top>
      <bottom style="thin">
        <color rgb="FFE7E6E6"/>
      </bottom>
      <diagonal/>
    </border>
    <border>
      <left style="thin">
        <color theme="0" tint="-0.14999847407452621"/>
      </left>
      <right/>
      <top style="thin">
        <color indexed="64"/>
      </top>
      <bottom style="double">
        <color indexed="64"/>
      </bottom>
      <diagonal/>
    </border>
    <border>
      <left/>
      <right style="thin">
        <color theme="0" tint="-0.14999847407452621"/>
      </right>
      <top style="thin">
        <color indexed="64"/>
      </top>
      <bottom style="double">
        <color indexed="64"/>
      </bottom>
      <diagonal/>
    </border>
    <border>
      <left style="thin">
        <color theme="2"/>
      </left>
      <right/>
      <top style="double">
        <color indexed="64"/>
      </top>
      <bottom/>
      <diagonal/>
    </border>
    <border>
      <left style="thin">
        <color theme="2"/>
      </left>
      <right/>
      <top/>
      <bottom style="thin">
        <color theme="0" tint="-0.14999847407452621"/>
      </bottom>
      <diagonal/>
    </border>
    <border>
      <left/>
      <right style="thin">
        <color theme="2"/>
      </right>
      <top style="double">
        <color indexed="64"/>
      </top>
      <bottom/>
      <diagonal/>
    </border>
    <border>
      <left style="thin">
        <color rgb="FFE7E6E6"/>
      </left>
      <right/>
      <top style="thin">
        <color rgb="FFE7E6E6"/>
      </top>
      <bottom style="medium">
        <color theme="2"/>
      </bottom>
      <diagonal/>
    </border>
    <border>
      <left/>
      <right/>
      <top style="thin">
        <color rgb="FFE7E6E6"/>
      </top>
      <bottom style="medium">
        <color theme="2"/>
      </bottom>
      <diagonal/>
    </border>
    <border>
      <left/>
      <right style="thin">
        <color rgb="FFE7E6E6"/>
      </right>
      <top style="thin">
        <color rgb="FFE7E6E6"/>
      </top>
      <bottom style="medium">
        <color theme="2"/>
      </bottom>
      <diagonal/>
    </border>
    <border>
      <left/>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theme="2" tint="-0.499984740745262"/>
      </left>
      <right/>
      <top/>
      <bottom/>
      <diagonal/>
    </border>
    <border>
      <left/>
      <right style="thin">
        <color theme="2"/>
      </right>
      <top style="thin">
        <color theme="2" tint="-0.499984740745262"/>
      </top>
      <bottom/>
      <diagonal/>
    </border>
    <border>
      <left/>
      <right style="thin">
        <color theme="2" tint="-0.499984740745262"/>
      </right>
      <top style="thin">
        <color theme="2" tint="-0.499984740745262"/>
      </top>
      <bottom/>
      <diagonal/>
    </border>
    <border>
      <left/>
      <right/>
      <top/>
      <bottom style="thin">
        <color theme="2" tint="-0.499984740745262"/>
      </bottom>
      <diagonal/>
    </border>
    <border>
      <left style="thin">
        <color rgb="FFE7E6E6"/>
      </left>
      <right/>
      <top style="thin">
        <color theme="2"/>
      </top>
      <bottom/>
      <diagonal/>
    </border>
    <border>
      <left style="thin">
        <color rgb="FFE7E6E6"/>
      </left>
      <right/>
      <top/>
      <bottom style="thick">
        <color theme="2"/>
      </bottom>
      <diagonal/>
    </border>
    <border>
      <left style="thin">
        <color rgb="FFE7E6E6"/>
      </left>
      <right style="thin">
        <color theme="2"/>
      </right>
      <top/>
      <bottom style="thick">
        <color theme="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rgb="FF000000"/>
      </left>
      <right style="thin">
        <color rgb="FF000000"/>
      </right>
      <top style="thin">
        <color rgb="FF000000"/>
      </top>
      <bottom/>
      <diagonal/>
    </border>
    <border>
      <left style="thin">
        <color theme="2" tint="-0.499984740745262"/>
      </left>
      <right style="thin">
        <color theme="2" tint="-0.499984740745262"/>
      </right>
      <top/>
      <bottom style="thin">
        <color theme="2" tint="-0.499984740745262"/>
      </bottom>
      <diagonal/>
    </border>
    <border>
      <left/>
      <right/>
      <top/>
      <bottom style="thick">
        <color theme="2"/>
      </bottom>
      <diagonal/>
    </border>
    <border>
      <left style="thin">
        <color rgb="FF000000"/>
      </left>
      <right style="thin">
        <color rgb="FF000000"/>
      </right>
      <top style="thin">
        <color rgb="FF000000"/>
      </top>
      <bottom style="thin">
        <color rgb="FF000000"/>
      </bottom>
      <diagonal/>
    </border>
    <border>
      <left style="thin">
        <color theme="0" tint="-0.14999847407452621"/>
      </left>
      <right/>
      <top style="thin">
        <color theme="2" tint="-9.9978637043366805E-2"/>
      </top>
      <bottom/>
      <diagonal/>
    </border>
    <border>
      <left style="thin">
        <color theme="2" tint="-9.9978637043366805E-2"/>
      </left>
      <right style="thin">
        <color theme="2" tint="-9.9978637043366805E-2"/>
      </right>
      <top/>
      <bottom style="thin">
        <color theme="2" tint="-9.9978637043366805E-2"/>
      </bottom>
      <diagonal/>
    </border>
    <border>
      <left/>
      <right style="thin">
        <color theme="2"/>
      </right>
      <top/>
      <bottom style="double">
        <color rgb="FF000000"/>
      </bottom>
      <diagonal/>
    </border>
    <border>
      <left style="thin">
        <color theme="0" tint="-0.14999847407452621"/>
      </left>
      <right style="thin">
        <color theme="0"/>
      </right>
      <top style="thin">
        <color theme="0" tint="-0.14996795556505021"/>
      </top>
      <bottom style="thin">
        <color theme="0" tint="-0.14996795556505021"/>
      </bottom>
      <diagonal/>
    </border>
    <border>
      <left style="thin">
        <color theme="2"/>
      </left>
      <right style="thin">
        <color theme="2"/>
      </right>
      <top style="thin">
        <color theme="0" tint="-0.14999847407452621"/>
      </top>
      <bottom style="thin">
        <color indexed="64"/>
      </bottom>
      <diagonal/>
    </border>
    <border>
      <left style="thin">
        <color theme="2"/>
      </left>
      <right style="thin">
        <color theme="2"/>
      </right>
      <top style="thin">
        <color theme="2"/>
      </top>
      <bottom style="thin">
        <color theme="0" tint="-0.14999847407452621"/>
      </bottom>
      <diagonal/>
    </border>
    <border>
      <left style="thin">
        <color theme="0" tint="-0.14999847407452621"/>
      </left>
      <right/>
      <top style="thin">
        <color theme="0" tint="-0.14996795556505021"/>
      </top>
      <bottom/>
      <diagonal/>
    </border>
    <border>
      <left style="thin">
        <color theme="0" tint="-0.14999847407452621"/>
      </left>
      <right style="thin">
        <color theme="0"/>
      </right>
      <top/>
      <bottom style="thin">
        <color theme="0" tint="-0.14996795556505021"/>
      </bottom>
      <diagonal/>
    </border>
    <border>
      <left/>
      <right/>
      <top/>
      <bottom style="thin">
        <color theme="0" tint="-0.14996795556505021"/>
      </bottom>
      <diagonal/>
    </border>
    <border>
      <left/>
      <right style="thin">
        <color theme="2"/>
      </right>
      <top/>
      <bottom style="thin">
        <color theme="0" tint="-0.14996795556505021"/>
      </bottom>
      <diagonal/>
    </border>
    <border>
      <left style="thin">
        <color theme="0" tint="-0.14999847407452621"/>
      </left>
      <right style="thin">
        <color theme="0"/>
      </right>
      <top style="thin">
        <color theme="0" tint="-0.14996795556505021"/>
      </top>
      <bottom style="thin">
        <color theme="0" tint="-0.14999847407452621"/>
      </bottom>
      <diagonal/>
    </border>
    <border>
      <left/>
      <right style="thin">
        <color theme="2"/>
      </right>
      <top style="thin">
        <color theme="0" tint="-0.149967955565050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style="thin">
        <color rgb="FF000000"/>
      </top>
      <bottom/>
      <diagonal/>
    </border>
    <border>
      <left/>
      <right style="thin">
        <color theme="0" tint="-0.14999847407452621"/>
      </right>
      <top style="thin">
        <color rgb="FF000000"/>
      </top>
      <bottom style="thin">
        <color rgb="FF000000"/>
      </bottom>
      <diagonal/>
    </border>
    <border>
      <left/>
      <right style="thin">
        <color theme="0" tint="-0.14999847407452621"/>
      </right>
      <top style="thin">
        <color indexed="64"/>
      </top>
      <bottom/>
      <diagonal/>
    </border>
    <border>
      <left/>
      <right style="thin">
        <color theme="0" tint="-0.14999847407452621"/>
      </right>
      <top/>
      <bottom style="medium">
        <color theme="2"/>
      </bottom>
      <diagonal/>
    </border>
    <border>
      <left/>
      <right/>
      <top/>
      <bottom style="medium">
        <color theme="2"/>
      </bottom>
      <diagonal/>
    </border>
    <border>
      <left style="thin">
        <color theme="0" tint="-0.14999847407452621"/>
      </left>
      <right/>
      <top/>
      <bottom style="medium">
        <color theme="2"/>
      </bottom>
      <diagonal/>
    </border>
    <border>
      <left style="thin">
        <color theme="0" tint="-0.14999847407452621"/>
      </left>
      <right/>
      <top style="thin">
        <color theme="0" tint="-0.14996795556505021"/>
      </top>
      <bottom style="thin">
        <color theme="0" tint="-0.14996795556505021"/>
      </bottom>
      <diagonal/>
    </border>
    <border>
      <left/>
      <right style="thin">
        <color theme="0" tint="-0.14999847407452621"/>
      </right>
      <top style="thin">
        <color theme="0" tint="-0.14996795556505021"/>
      </top>
      <bottom style="thin">
        <color theme="0" tint="-0.14999847407452621"/>
      </bottom>
      <diagonal/>
    </border>
    <border>
      <left style="thin">
        <color theme="0"/>
      </left>
      <right/>
      <top style="thin">
        <color theme="0" tint="-0.14996795556505021"/>
      </top>
      <bottom style="thin">
        <color theme="0" tint="-0.14999847407452621"/>
      </bottom>
      <diagonal/>
    </border>
    <border>
      <left/>
      <right style="thin">
        <color theme="0" tint="-0.14999847407452621"/>
      </right>
      <top/>
      <bottom style="thin">
        <color theme="0" tint="-0.14996795556505021"/>
      </bottom>
      <diagonal/>
    </border>
    <border>
      <left style="thin">
        <color theme="0" tint="-0.14999847407452621"/>
      </left>
      <right/>
      <top/>
      <bottom style="thin">
        <color theme="0" tint="-0.14996795556505021"/>
      </bottom>
      <diagonal/>
    </border>
  </borders>
  <cellStyleXfs count="6">
    <xf numFmtId="0" fontId="0" fillId="0" borderId="0"/>
    <xf numFmtId="0" fontId="1" fillId="0" borderId="0" applyNumberForma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cellStyleXfs>
  <cellXfs count="1620">
    <xf numFmtId="0" fontId="0" fillId="0" borderId="0" xfId="0"/>
    <xf numFmtId="0" fontId="9" fillId="2" borderId="0" xfId="0" applyFont="1" applyFill="1" applyAlignment="1">
      <alignment horizontal="right"/>
    </xf>
    <xf numFmtId="0" fontId="4" fillId="2" borderId="0" xfId="0" applyFont="1" applyFill="1" applyAlignment="1">
      <alignment horizontal="right"/>
    </xf>
    <xf numFmtId="0" fontId="4" fillId="2" borderId="0" xfId="0" applyFont="1" applyFill="1"/>
    <xf numFmtId="9" fontId="0" fillId="2" borderId="0" xfId="3" applyFont="1" applyFill="1" applyBorder="1"/>
    <xf numFmtId="0" fontId="13" fillId="2" borderId="9" xfId="0" applyFont="1" applyFill="1" applyBorder="1"/>
    <xf numFmtId="0" fontId="12" fillId="2" borderId="6" xfId="0" applyFont="1" applyFill="1" applyBorder="1"/>
    <xf numFmtId="0" fontId="16" fillId="2" borderId="0" xfId="0" applyFont="1" applyFill="1" applyAlignment="1">
      <alignment horizontal="right"/>
    </xf>
    <xf numFmtId="0" fontId="16" fillId="2" borderId="0" xfId="0" applyFont="1" applyFill="1" applyAlignment="1">
      <alignment horizontal="right" wrapText="1"/>
    </xf>
    <xf numFmtId="0" fontId="14" fillId="2" borderId="0" xfId="0" applyFont="1" applyFill="1"/>
    <xf numFmtId="44" fontId="14" fillId="2" borderId="6" xfId="2" applyFont="1" applyFill="1" applyBorder="1"/>
    <xf numFmtId="165" fontId="14" fillId="2" borderId="14" xfId="2" applyNumberFormat="1" applyFont="1" applyFill="1" applyBorder="1"/>
    <xf numFmtId="164" fontId="14" fillId="2" borderId="5" xfId="0" applyNumberFormat="1" applyFont="1" applyFill="1" applyBorder="1"/>
    <xf numFmtId="0" fontId="24" fillId="2" borderId="6" xfId="0" applyFont="1" applyFill="1" applyBorder="1" applyAlignment="1">
      <alignment horizontal="right"/>
    </xf>
    <xf numFmtId="0" fontId="24" fillId="2" borderId="0" xfId="0" applyFont="1" applyFill="1" applyAlignment="1">
      <alignment horizontal="right"/>
    </xf>
    <xf numFmtId="0" fontId="24" fillId="2" borderId="10" xfId="0" applyFont="1" applyFill="1" applyBorder="1" applyAlignment="1">
      <alignment horizontal="right"/>
    </xf>
    <xf numFmtId="44" fontId="14" fillId="2" borderId="5" xfId="0" applyNumberFormat="1" applyFont="1" applyFill="1" applyBorder="1"/>
    <xf numFmtId="44" fontId="14" fillId="2" borderId="0" xfId="0" applyNumberFormat="1" applyFont="1" applyFill="1"/>
    <xf numFmtId="0" fontId="0" fillId="2" borderId="0" xfId="0" applyFill="1"/>
    <xf numFmtId="0" fontId="23" fillId="2" borderId="0" xfId="0" applyFont="1" applyFill="1"/>
    <xf numFmtId="44" fontId="2" fillId="2" borderId="12" xfId="0" applyNumberFormat="1" applyFont="1" applyFill="1" applyBorder="1"/>
    <xf numFmtId="44" fontId="2" fillId="2" borderId="11" xfId="0" applyNumberFormat="1" applyFont="1" applyFill="1" applyBorder="1"/>
    <xf numFmtId="0" fontId="26" fillId="2" borderId="0" xfId="0" applyFont="1" applyFill="1"/>
    <xf numFmtId="44" fontId="14" fillId="2" borderId="6" xfId="0" applyNumberFormat="1" applyFont="1" applyFill="1" applyBorder="1"/>
    <xf numFmtId="44" fontId="2" fillId="2" borderId="5" xfId="0" applyNumberFormat="1" applyFont="1" applyFill="1" applyBorder="1"/>
    <xf numFmtId="0" fontId="5" fillId="2" borderId="26" xfId="0" applyFont="1" applyFill="1" applyBorder="1" applyAlignment="1">
      <alignment horizontal="center"/>
    </xf>
    <xf numFmtId="0" fontId="15" fillId="2" borderId="29" xfId="0" applyFont="1" applyFill="1" applyBorder="1" applyAlignment="1">
      <alignment horizontal="right"/>
    </xf>
    <xf numFmtId="0" fontId="12" fillId="2" borderId="26" xfId="0" applyFont="1" applyFill="1" applyBorder="1"/>
    <xf numFmtId="0" fontId="12" fillId="2" borderId="31" xfId="0" applyFont="1" applyFill="1" applyBorder="1"/>
    <xf numFmtId="0" fontId="12" fillId="2" borderId="29" xfId="0" applyFont="1" applyFill="1" applyBorder="1"/>
    <xf numFmtId="0" fontId="20" fillId="2" borderId="33" xfId="0" applyFont="1" applyFill="1" applyBorder="1"/>
    <xf numFmtId="9" fontId="0" fillId="2" borderId="35" xfId="3" applyFont="1" applyFill="1" applyBorder="1"/>
    <xf numFmtId="0" fontId="4" fillId="2" borderId="35" xfId="0" applyFont="1" applyFill="1" applyBorder="1" applyAlignment="1">
      <alignment horizontal="left" indent="2"/>
    </xf>
    <xf numFmtId="0" fontId="5" fillId="2" borderId="38" xfId="0" applyFont="1" applyFill="1" applyBorder="1" applyAlignment="1">
      <alignment horizontal="left" indent="3"/>
    </xf>
    <xf numFmtId="0" fontId="15" fillId="2" borderId="35" xfId="0" applyFont="1" applyFill="1" applyBorder="1" applyAlignment="1">
      <alignment horizontal="right"/>
    </xf>
    <xf numFmtId="0" fontId="19" fillId="2" borderId="41" xfId="0" applyFont="1" applyFill="1" applyBorder="1" applyAlignment="1">
      <alignment horizontal="center"/>
    </xf>
    <xf numFmtId="0" fontId="19" fillId="2" borderId="42" xfId="0" applyFont="1" applyFill="1" applyBorder="1" applyAlignment="1">
      <alignment horizontal="center"/>
    </xf>
    <xf numFmtId="0" fontId="11" fillId="2" borderId="35" xfId="0" applyFont="1" applyFill="1" applyBorder="1" applyAlignment="1">
      <alignment horizontal="center" wrapText="1"/>
    </xf>
    <xf numFmtId="0" fontId="11" fillId="2" borderId="26" xfId="0" applyFont="1" applyFill="1" applyBorder="1" applyAlignment="1">
      <alignment horizontal="center" wrapText="1"/>
    </xf>
    <xf numFmtId="0" fontId="13" fillId="2" borderId="37" xfId="0" applyFont="1" applyFill="1" applyBorder="1"/>
    <xf numFmtId="0" fontId="8" fillId="2" borderId="28" xfId="0" applyFont="1" applyFill="1" applyBorder="1"/>
    <xf numFmtId="0" fontId="4" fillId="2" borderId="38" xfId="0" applyFont="1" applyFill="1" applyBorder="1"/>
    <xf numFmtId="44" fontId="11" fillId="2" borderId="0" xfId="2" applyFont="1" applyFill="1" applyBorder="1"/>
    <xf numFmtId="0" fontId="14" fillId="2" borderId="31" xfId="0" applyFont="1" applyFill="1" applyBorder="1" applyAlignment="1">
      <alignment horizontal="right"/>
    </xf>
    <xf numFmtId="0" fontId="5" fillId="2" borderId="49" xfId="0" applyFont="1" applyFill="1" applyBorder="1" applyAlignment="1">
      <alignment horizontal="left" indent="3"/>
    </xf>
    <xf numFmtId="0" fontId="15" fillId="2" borderId="31" xfId="0" applyFont="1" applyFill="1" applyBorder="1" applyAlignment="1">
      <alignment horizontal="right"/>
    </xf>
    <xf numFmtId="0" fontId="21" fillId="2" borderId="49" xfId="0" applyFont="1" applyFill="1" applyBorder="1" applyAlignment="1">
      <alignment horizontal="left" indent="3"/>
    </xf>
    <xf numFmtId="0" fontId="6" fillId="2" borderId="50" xfId="0" applyFont="1" applyFill="1" applyBorder="1" applyAlignment="1">
      <alignment horizontal="left" indent="3"/>
    </xf>
    <xf numFmtId="0" fontId="12" fillId="2" borderId="51" xfId="0" applyFont="1" applyFill="1" applyBorder="1"/>
    <xf numFmtId="0" fontId="14" fillId="3" borderId="0" xfId="0" applyFont="1" applyFill="1"/>
    <xf numFmtId="0" fontId="12" fillId="3" borderId="26" xfId="0" applyFont="1" applyFill="1" applyBorder="1"/>
    <xf numFmtId="0" fontId="15" fillId="2" borderId="38" xfId="0" applyFont="1" applyFill="1" applyBorder="1" applyAlignment="1">
      <alignment horizontal="right"/>
    </xf>
    <xf numFmtId="0" fontId="5" fillId="2" borderId="39" xfId="0" applyFont="1" applyFill="1" applyBorder="1" applyAlignment="1">
      <alignment horizontal="left" indent="3"/>
    </xf>
    <xf numFmtId="0" fontId="12" fillId="2" borderId="30" xfId="0" applyFont="1" applyFill="1" applyBorder="1"/>
    <xf numFmtId="0" fontId="4" fillId="2" borderId="50" xfId="0" applyFont="1" applyFill="1" applyBorder="1" applyAlignment="1">
      <alignment horizontal="left" indent="3"/>
    </xf>
    <xf numFmtId="0" fontId="11" fillId="2" borderId="51" xfId="0" applyFont="1" applyFill="1" applyBorder="1"/>
    <xf numFmtId="0" fontId="4" fillId="2" borderId="35" xfId="0" applyFont="1" applyFill="1" applyBorder="1" applyAlignment="1">
      <alignment horizontal="left" indent="3"/>
    </xf>
    <xf numFmtId="0" fontId="11" fillId="2" borderId="26" xfId="0" applyFont="1" applyFill="1" applyBorder="1"/>
    <xf numFmtId="0" fontId="4" fillId="2" borderId="50" xfId="0" applyFont="1" applyFill="1" applyBorder="1" applyAlignment="1">
      <alignment horizontal="left"/>
    </xf>
    <xf numFmtId="0" fontId="4" fillId="2" borderId="35" xfId="0" applyFont="1" applyFill="1" applyBorder="1" applyAlignment="1">
      <alignment horizontal="left"/>
    </xf>
    <xf numFmtId="0" fontId="12" fillId="2" borderId="38" xfId="0" applyFont="1" applyFill="1" applyBorder="1"/>
    <xf numFmtId="0" fontId="19" fillId="2" borderId="50" xfId="0" applyFont="1" applyFill="1" applyBorder="1" applyAlignment="1">
      <alignment horizontal="center"/>
    </xf>
    <xf numFmtId="0" fontId="15" fillId="2" borderId="51" xfId="0" applyFont="1" applyFill="1" applyBorder="1" applyAlignment="1">
      <alignment horizontal="right"/>
    </xf>
    <xf numFmtId="0" fontId="15" fillId="2" borderId="34" xfId="0" applyFont="1" applyFill="1" applyBorder="1" applyAlignment="1">
      <alignment horizontal="right"/>
    </xf>
    <xf numFmtId="0" fontId="26" fillId="0" borderId="0" xfId="0" applyFont="1"/>
    <xf numFmtId="0" fontId="31" fillId="2" borderId="0" xfId="0" applyFont="1" applyFill="1"/>
    <xf numFmtId="0" fontId="27" fillId="2" borderId="0" xfId="0" applyFont="1" applyFill="1" applyAlignment="1">
      <alignment wrapText="1"/>
    </xf>
    <xf numFmtId="0" fontId="27" fillId="2" borderId="0" xfId="0" applyFont="1" applyFill="1"/>
    <xf numFmtId="0" fontId="27" fillId="2" borderId="0" xfId="0" applyFont="1" applyFill="1" applyAlignment="1">
      <alignment horizontal="center" vertical="center"/>
    </xf>
    <xf numFmtId="0" fontId="27" fillId="2" borderId="0" xfId="0" applyFont="1" applyFill="1" applyAlignment="1">
      <alignment vertical="center" wrapText="1"/>
    </xf>
    <xf numFmtId="0" fontId="27" fillId="2" borderId="0" xfId="0" applyFont="1" applyFill="1" applyAlignment="1">
      <alignment vertical="center"/>
    </xf>
    <xf numFmtId="0" fontId="35" fillId="2" borderId="0" xfId="0" applyFont="1" applyFill="1" applyAlignment="1">
      <alignment horizontal="center" vertical="center"/>
    </xf>
    <xf numFmtId="0" fontId="31" fillId="2" borderId="0" xfId="0" applyFont="1" applyFill="1" applyAlignment="1">
      <alignment wrapText="1"/>
    </xf>
    <xf numFmtId="0" fontId="26" fillId="2" borderId="0" xfId="0" applyFont="1" applyFill="1" applyAlignment="1">
      <alignment vertical="top"/>
    </xf>
    <xf numFmtId="0" fontId="2" fillId="2" borderId="8" xfId="0" applyFont="1" applyFill="1" applyBorder="1" applyAlignment="1">
      <alignment horizontal="right" vertical="center"/>
    </xf>
    <xf numFmtId="9" fontId="0" fillId="2" borderId="0" xfId="3" applyFont="1" applyFill="1" applyBorder="1" applyAlignment="1">
      <alignment horizontal="center" vertical="center"/>
    </xf>
    <xf numFmtId="0" fontId="15" fillId="2" borderId="6" xfId="0" applyFont="1" applyFill="1" applyBorder="1" applyAlignment="1">
      <alignment horizontal="right"/>
    </xf>
    <xf numFmtId="44" fontId="14" fillId="2" borderId="5" xfId="2" applyFont="1" applyFill="1" applyBorder="1"/>
    <xf numFmtId="44" fontId="14" fillId="2" borderId="0" xfId="2" applyFont="1" applyFill="1" applyBorder="1"/>
    <xf numFmtId="0" fontId="5" fillId="2" borderId="0" xfId="0" applyFont="1" applyFill="1" applyAlignment="1">
      <alignment horizontal="left" indent="3"/>
    </xf>
    <xf numFmtId="0" fontId="26" fillId="2" borderId="59" xfId="0" applyFont="1" applyFill="1" applyBorder="1"/>
    <xf numFmtId="0" fontId="39" fillId="2" borderId="59" xfId="0" applyFont="1" applyFill="1" applyBorder="1"/>
    <xf numFmtId="0" fontId="26" fillId="2" borderId="59" xfId="0" applyFont="1" applyFill="1" applyBorder="1" applyAlignment="1">
      <alignment vertical="top" wrapText="1"/>
    </xf>
    <xf numFmtId="0" fontId="28" fillId="2" borderId="59" xfId="0" applyFont="1" applyFill="1" applyBorder="1" applyAlignment="1">
      <alignment horizontal="left" indent="2"/>
    </xf>
    <xf numFmtId="0" fontId="40" fillId="2" borderId="59" xfId="1" applyFont="1" applyFill="1" applyBorder="1" applyAlignment="1">
      <alignment horizontal="left" indent="4"/>
    </xf>
    <xf numFmtId="0" fontId="26" fillId="2" borderId="60" xfId="0" applyFont="1" applyFill="1" applyBorder="1" applyAlignment="1">
      <alignment horizontal="left" indent="4"/>
    </xf>
    <xf numFmtId="0" fontId="26" fillId="2" borderId="0" xfId="0" applyFont="1" applyFill="1" applyAlignment="1">
      <alignment vertical="center"/>
    </xf>
    <xf numFmtId="0" fontId="26" fillId="2" borderId="0" xfId="0" applyFont="1" applyFill="1" applyAlignment="1">
      <alignment horizontal="center" vertical="center"/>
    </xf>
    <xf numFmtId="0" fontId="15" fillId="2" borderId="31" xfId="0" applyFont="1" applyFill="1" applyBorder="1" applyAlignment="1">
      <alignment horizontal="right" wrapText="1"/>
    </xf>
    <xf numFmtId="0" fontId="15" fillId="2" borderId="29" xfId="0" applyFont="1" applyFill="1" applyBorder="1" applyAlignment="1">
      <alignment horizontal="right" wrapText="1"/>
    </xf>
    <xf numFmtId="0" fontId="15" fillId="2" borderId="26" xfId="0" applyFont="1" applyFill="1" applyBorder="1" applyAlignment="1">
      <alignment horizontal="right"/>
    </xf>
    <xf numFmtId="0" fontId="50" fillId="2" borderId="0" xfId="0" applyFont="1" applyFill="1"/>
    <xf numFmtId="164" fontId="14" fillId="2" borderId="6" xfId="2" applyNumberFormat="1" applyFont="1" applyFill="1" applyBorder="1" applyAlignment="1">
      <alignment horizontal="right"/>
    </xf>
    <xf numFmtId="0" fontId="5" fillId="2" borderId="35" xfId="0" applyFont="1" applyFill="1" applyBorder="1" applyAlignment="1">
      <alignment horizontal="left" indent="3"/>
    </xf>
    <xf numFmtId="0" fontId="23" fillId="2" borderId="0" xfId="0" applyFont="1" applyFill="1" applyAlignment="1">
      <alignment wrapText="1"/>
    </xf>
    <xf numFmtId="0" fontId="27" fillId="2" borderId="0" xfId="0" applyFont="1" applyFill="1" applyAlignment="1">
      <alignment horizontal="center"/>
    </xf>
    <xf numFmtId="0" fontId="27" fillId="2" borderId="0" xfId="0" applyFont="1" applyFill="1" applyAlignment="1">
      <alignment horizontal="center" vertical="center" wrapText="1"/>
    </xf>
    <xf numFmtId="0" fontId="15" fillId="2" borderId="31" xfId="0" applyFont="1" applyFill="1" applyBorder="1" applyAlignment="1">
      <alignment vertical="center" wrapText="1"/>
    </xf>
    <xf numFmtId="44" fontId="14" fillId="2" borderId="10" xfId="2" applyFont="1" applyFill="1" applyBorder="1"/>
    <xf numFmtId="0" fontId="5" fillId="2" borderId="39" xfId="0" applyFont="1" applyFill="1" applyBorder="1" applyAlignment="1">
      <alignment horizontal="left" vertical="center" indent="3"/>
    </xf>
    <xf numFmtId="44" fontId="14" fillId="2" borderId="14" xfId="2" applyFont="1" applyFill="1" applyBorder="1" applyAlignment="1">
      <alignment horizontal="left" vertical="center"/>
    </xf>
    <xf numFmtId="0" fontId="5" fillId="2" borderId="49" xfId="0" applyFont="1" applyFill="1" applyBorder="1" applyAlignment="1">
      <alignment horizontal="left" vertical="center" indent="3"/>
    </xf>
    <xf numFmtId="44" fontId="14" fillId="2" borderId="69" xfId="2" applyFont="1" applyFill="1" applyBorder="1"/>
    <xf numFmtId="0" fontId="12" fillId="2" borderId="70" xfId="0" applyFont="1" applyFill="1" applyBorder="1"/>
    <xf numFmtId="0" fontId="2" fillId="2" borderId="7" xfId="0" applyFont="1" applyFill="1" applyBorder="1" applyAlignment="1">
      <alignment horizontal="center"/>
    </xf>
    <xf numFmtId="14" fontId="27" fillId="2" borderId="0" xfId="0" applyNumberFormat="1" applyFont="1" applyFill="1" applyAlignment="1">
      <alignment vertical="center"/>
    </xf>
    <xf numFmtId="9" fontId="0" fillId="2" borderId="0" xfId="3" applyFont="1" applyFill="1"/>
    <xf numFmtId="44" fontId="11" fillId="2" borderId="0" xfId="2" applyFont="1" applyFill="1"/>
    <xf numFmtId="0" fontId="6" fillId="2" borderId="38" xfId="0" applyFont="1" applyFill="1" applyBorder="1" applyAlignment="1">
      <alignment horizontal="left" indent="3"/>
    </xf>
    <xf numFmtId="44" fontId="11" fillId="2" borderId="6" xfId="2" applyFont="1" applyFill="1" applyBorder="1"/>
    <xf numFmtId="0" fontId="51" fillId="2" borderId="31" xfId="0" applyFont="1" applyFill="1" applyBorder="1" applyAlignment="1">
      <alignment horizontal="right"/>
    </xf>
    <xf numFmtId="0" fontId="12" fillId="2" borderId="0" xfId="0" applyFont="1" applyFill="1"/>
    <xf numFmtId="165" fontId="14" fillId="2" borderId="0" xfId="2" applyNumberFormat="1" applyFont="1" applyFill="1" applyBorder="1"/>
    <xf numFmtId="0" fontId="0" fillId="2" borderId="73" xfId="0" applyFill="1" applyBorder="1"/>
    <xf numFmtId="165" fontId="14" fillId="2" borderId="6" xfId="2" applyNumberFormat="1" applyFont="1" applyFill="1" applyBorder="1"/>
    <xf numFmtId="0" fontId="13" fillId="2" borderId="0" xfId="0" applyFont="1" applyFill="1"/>
    <xf numFmtId="0" fontId="13" fillId="2" borderId="35" xfId="0" applyFont="1" applyFill="1" applyBorder="1"/>
    <xf numFmtId="0" fontId="8" fillId="2" borderId="26" xfId="0" applyFont="1" applyFill="1" applyBorder="1"/>
    <xf numFmtId="0" fontId="0" fillId="2" borderId="35" xfId="0" applyFill="1" applyBorder="1"/>
    <xf numFmtId="0" fontId="0" fillId="3" borderId="0" xfId="0" applyFill="1"/>
    <xf numFmtId="0" fontId="0" fillId="3" borderId="26" xfId="0" applyFill="1" applyBorder="1"/>
    <xf numFmtId="0" fontId="0" fillId="2" borderId="35" xfId="0" applyFill="1" applyBorder="1" applyAlignment="1">
      <alignment horizontal="left" indent="3"/>
    </xf>
    <xf numFmtId="0" fontId="0" fillId="2" borderId="26" xfId="0" applyFill="1" applyBorder="1"/>
    <xf numFmtId="0" fontId="0" fillId="2" borderId="0" xfId="0" applyFill="1" applyAlignment="1">
      <alignment horizontal="left" vertical="center" indent="3"/>
    </xf>
    <xf numFmtId="0" fontId="20" fillId="2" borderId="34" xfId="0" applyFont="1" applyFill="1" applyBorder="1"/>
    <xf numFmtId="0" fontId="50" fillId="2" borderId="29" xfId="0" applyFont="1" applyFill="1" applyBorder="1" applyAlignment="1">
      <alignment horizontal="right"/>
    </xf>
    <xf numFmtId="44" fontId="14" fillId="2" borderId="0" xfId="2" applyFont="1" applyFill="1"/>
    <xf numFmtId="0" fontId="45" fillId="2" borderId="35" xfId="0" applyFont="1" applyFill="1" applyBorder="1"/>
    <xf numFmtId="0" fontId="57" fillId="2" borderId="0" xfId="0" applyFont="1" applyFill="1" applyAlignment="1">
      <alignment vertical="center"/>
    </xf>
    <xf numFmtId="9" fontId="13" fillId="2" borderId="0" xfId="3" applyFont="1" applyFill="1" applyBorder="1" applyAlignment="1">
      <alignment vertical="center"/>
    </xf>
    <xf numFmtId="0" fontId="8" fillId="2" borderId="9" xfId="0" applyFont="1" applyFill="1" applyBorder="1"/>
    <xf numFmtId="0" fontId="8" fillId="2" borderId="0" xfId="0" applyFont="1" applyFill="1"/>
    <xf numFmtId="44" fontId="58" fillId="2" borderId="0" xfId="2" applyFont="1" applyFill="1" applyBorder="1"/>
    <xf numFmtId="0" fontId="58" fillId="2" borderId="31" xfId="0" applyFont="1" applyFill="1" applyBorder="1" applyAlignment="1">
      <alignment horizontal="left"/>
    </xf>
    <xf numFmtId="44" fontId="21" fillId="2" borderId="29" xfId="2" applyFont="1" applyFill="1" applyBorder="1" applyAlignment="1">
      <alignment horizontal="right"/>
    </xf>
    <xf numFmtId="165" fontId="14" fillId="2" borderId="49" xfId="2" applyNumberFormat="1" applyFont="1" applyFill="1" applyBorder="1"/>
    <xf numFmtId="165" fontId="14" fillId="2" borderId="10" xfId="2" applyNumberFormat="1" applyFont="1" applyFill="1" applyBorder="1"/>
    <xf numFmtId="44" fontId="11" fillId="2" borderId="6" xfId="2" applyFont="1" applyFill="1" applyBorder="1" applyAlignment="1">
      <alignment horizontal="right"/>
    </xf>
    <xf numFmtId="165" fontId="14" fillId="2" borderId="5" xfId="0" applyNumberFormat="1" applyFont="1" applyFill="1" applyBorder="1"/>
    <xf numFmtId="165" fontId="14" fillId="2" borderId="0" xfId="0" applyNumberFormat="1" applyFont="1" applyFill="1"/>
    <xf numFmtId="165" fontId="14" fillId="3" borderId="0" xfId="0" applyNumberFormat="1" applyFont="1" applyFill="1"/>
    <xf numFmtId="0" fontId="15" fillId="0" borderId="53" xfId="0" applyFont="1" applyBorder="1" applyAlignment="1">
      <alignment wrapText="1"/>
    </xf>
    <xf numFmtId="0" fontId="15" fillId="2" borderId="6" xfId="0" applyFont="1" applyFill="1" applyBorder="1" applyAlignment="1">
      <alignment wrapText="1"/>
    </xf>
    <xf numFmtId="0" fontId="11" fillId="2" borderId="5" xfId="0" applyFont="1" applyFill="1" applyBorder="1"/>
    <xf numFmtId="44" fontId="23" fillId="2" borderId="12" xfId="0" applyNumberFormat="1" applyFont="1" applyFill="1" applyBorder="1"/>
    <xf numFmtId="44" fontId="23" fillId="2" borderId="11" xfId="0" applyNumberFormat="1" applyFont="1" applyFill="1" applyBorder="1"/>
    <xf numFmtId="0" fontId="5" fillId="0" borderId="35" xfId="0" applyFont="1" applyBorder="1" applyAlignment="1">
      <alignment horizontal="left" indent="3"/>
    </xf>
    <xf numFmtId="0" fontId="55" fillId="2" borderId="33" xfId="0" applyFont="1" applyFill="1" applyBorder="1"/>
    <xf numFmtId="0" fontId="55" fillId="2" borderId="34" xfId="0" applyFont="1" applyFill="1" applyBorder="1"/>
    <xf numFmtId="0" fontId="2" fillId="2" borderId="46" xfId="0" applyFont="1" applyFill="1" applyBorder="1"/>
    <xf numFmtId="9" fontId="10" fillId="2" borderId="35" xfId="3" applyFont="1" applyFill="1" applyBorder="1" applyAlignment="1">
      <alignment horizontal="right"/>
    </xf>
    <xf numFmtId="9" fontId="10" fillId="2" borderId="0" xfId="3" applyFont="1" applyFill="1" applyBorder="1" applyAlignment="1">
      <alignment horizontal="right"/>
    </xf>
    <xf numFmtId="9" fontId="10" fillId="2" borderId="26" xfId="3" applyFont="1" applyFill="1" applyBorder="1" applyAlignment="1">
      <alignment horizontal="right"/>
    </xf>
    <xf numFmtId="0" fontId="59" fillId="2" borderId="0" xfId="0" applyFont="1" applyFill="1"/>
    <xf numFmtId="6" fontId="15" fillId="2" borderId="29" xfId="0" applyNumberFormat="1" applyFont="1" applyFill="1" applyBorder="1" applyAlignment="1">
      <alignment horizontal="right"/>
    </xf>
    <xf numFmtId="44" fontId="14" fillId="2" borderId="38" xfId="2" applyFont="1" applyFill="1" applyBorder="1"/>
    <xf numFmtId="6" fontId="15" fillId="2" borderId="31" xfId="0" applyNumberFormat="1" applyFont="1" applyFill="1" applyBorder="1" applyAlignment="1">
      <alignment horizontal="right"/>
    </xf>
    <xf numFmtId="44" fontId="14" fillId="2" borderId="29" xfId="2" applyFont="1" applyFill="1" applyBorder="1"/>
    <xf numFmtId="44" fontId="60" fillId="2" borderId="0" xfId="0" applyNumberFormat="1" applyFont="1" applyFill="1"/>
    <xf numFmtId="0" fontId="61" fillId="2" borderId="41" xfId="0" applyFont="1" applyFill="1" applyBorder="1" applyAlignment="1">
      <alignment horizontal="center"/>
    </xf>
    <xf numFmtId="44" fontId="62" fillId="2" borderId="12" xfId="0" applyNumberFormat="1" applyFont="1" applyFill="1" applyBorder="1"/>
    <xf numFmtId="0" fontId="63" fillId="2" borderId="33" xfId="0" applyFont="1" applyFill="1" applyBorder="1"/>
    <xf numFmtId="0" fontId="61" fillId="2" borderId="54" xfId="0" applyFont="1" applyFill="1" applyBorder="1" applyAlignment="1">
      <alignment horizontal="center"/>
    </xf>
    <xf numFmtId="44" fontId="62" fillId="2" borderId="51" xfId="0" applyNumberFormat="1" applyFont="1" applyFill="1" applyBorder="1"/>
    <xf numFmtId="0" fontId="61" fillId="2" borderId="42" xfId="0" applyFont="1" applyFill="1" applyBorder="1" applyAlignment="1">
      <alignment horizontal="center"/>
    </xf>
    <xf numFmtId="0" fontId="15" fillId="2" borderId="34" xfId="0" applyFont="1" applyFill="1" applyBorder="1" applyAlignment="1">
      <alignment horizontal="right" wrapText="1"/>
    </xf>
    <xf numFmtId="0" fontId="0" fillId="2" borderId="72" xfId="0" applyFill="1" applyBorder="1"/>
    <xf numFmtId="0" fontId="15" fillId="2" borderId="26" xfId="0" applyFont="1" applyFill="1" applyBorder="1" applyAlignment="1">
      <alignment horizontal="right" wrapText="1"/>
    </xf>
    <xf numFmtId="0" fontId="26" fillId="2" borderId="35" xfId="0" applyFont="1" applyFill="1" applyBorder="1"/>
    <xf numFmtId="0" fontId="65" fillId="2" borderId="0" xfId="0" applyFont="1" applyFill="1" applyAlignment="1">
      <alignment horizontal="right"/>
    </xf>
    <xf numFmtId="0" fontId="26" fillId="3" borderId="0" xfId="0" applyFont="1" applyFill="1"/>
    <xf numFmtId="44" fontId="66" fillId="2" borderId="0" xfId="2" applyFont="1" applyFill="1" applyBorder="1"/>
    <xf numFmtId="0" fontId="28" fillId="2" borderId="38" xfId="0" applyFont="1" applyFill="1" applyBorder="1" applyAlignment="1">
      <alignment horizontal="left" indent="3"/>
    </xf>
    <xf numFmtId="44" fontId="68" fillId="2" borderId="0" xfId="2" applyFont="1" applyFill="1" applyBorder="1"/>
    <xf numFmtId="44" fontId="68" fillId="2" borderId="6" xfId="2" applyFont="1" applyFill="1" applyBorder="1"/>
    <xf numFmtId="0" fontId="28" fillId="2" borderId="35" xfId="0" applyFont="1" applyFill="1" applyBorder="1" applyAlignment="1">
      <alignment horizontal="left" indent="3"/>
    </xf>
    <xf numFmtId="44" fontId="66" fillId="2" borderId="0" xfId="0" applyNumberFormat="1" applyFont="1" applyFill="1"/>
    <xf numFmtId="0" fontId="69" fillId="2" borderId="41" xfId="0" applyFont="1" applyFill="1" applyBorder="1" applyAlignment="1">
      <alignment horizontal="center"/>
    </xf>
    <xf numFmtId="164" fontId="68" fillId="2" borderId="5" xfId="0" applyNumberFormat="1" applyFont="1" applyFill="1" applyBorder="1"/>
    <xf numFmtId="0" fontId="26" fillId="2" borderId="35" xfId="0" applyFont="1" applyFill="1" applyBorder="1" applyAlignment="1">
      <alignment horizontal="left" indent="3"/>
    </xf>
    <xf numFmtId="0" fontId="68" fillId="2" borderId="0" xfId="0" applyFont="1" applyFill="1"/>
    <xf numFmtId="0" fontId="33" fillId="2" borderId="38" xfId="0" applyFont="1" applyFill="1" applyBorder="1" applyAlignment="1">
      <alignment horizontal="right"/>
    </xf>
    <xf numFmtId="0" fontId="70" fillId="2" borderId="6" xfId="0" applyFont="1" applyFill="1" applyBorder="1" applyAlignment="1">
      <alignment horizontal="right"/>
    </xf>
    <xf numFmtId="0" fontId="30" fillId="2" borderId="35" xfId="0" applyFont="1" applyFill="1" applyBorder="1" applyAlignment="1">
      <alignment horizontal="left" indent="2"/>
    </xf>
    <xf numFmtId="165" fontId="68" fillId="2" borderId="6" xfId="2" applyNumberFormat="1" applyFont="1" applyFill="1" applyBorder="1"/>
    <xf numFmtId="0" fontId="33" fillId="2" borderId="35" xfId="0" applyFont="1" applyFill="1" applyBorder="1" applyAlignment="1">
      <alignment horizontal="right"/>
    </xf>
    <xf numFmtId="0" fontId="70" fillId="2" borderId="0" xfId="0" applyFont="1" applyFill="1" applyAlignment="1">
      <alignment horizontal="right"/>
    </xf>
    <xf numFmtId="0" fontId="70" fillId="2" borderId="10" xfId="0" applyFont="1" applyFill="1" applyBorder="1" applyAlignment="1">
      <alignment horizontal="right"/>
    </xf>
    <xf numFmtId="0" fontId="28" fillId="2" borderId="49" xfId="0" applyFont="1" applyFill="1" applyBorder="1" applyAlignment="1">
      <alignment horizontal="left" indent="3"/>
    </xf>
    <xf numFmtId="0" fontId="30" fillId="2" borderId="50" xfId="0" applyFont="1" applyFill="1" applyBorder="1" applyAlignment="1">
      <alignment horizontal="left" indent="3"/>
    </xf>
    <xf numFmtId="44" fontId="68" fillId="2" borderId="5" xfId="0" applyNumberFormat="1" applyFont="1" applyFill="1" applyBorder="1"/>
    <xf numFmtId="0" fontId="30" fillId="2" borderId="35" xfId="0" applyFont="1" applyFill="1" applyBorder="1" applyAlignment="1">
      <alignment horizontal="left" indent="3"/>
    </xf>
    <xf numFmtId="44" fontId="68" fillId="2" borderId="0" xfId="0" applyNumberFormat="1" applyFont="1" applyFill="1"/>
    <xf numFmtId="0" fontId="30" fillId="2" borderId="50" xfId="0" applyFont="1" applyFill="1" applyBorder="1" applyAlignment="1">
      <alignment horizontal="left"/>
    </xf>
    <xf numFmtId="0" fontId="30" fillId="2" borderId="35" xfId="0" applyFont="1" applyFill="1" applyBorder="1" applyAlignment="1">
      <alignment horizontal="left"/>
    </xf>
    <xf numFmtId="44" fontId="29" fillId="2" borderId="12" xfId="0" applyNumberFormat="1" applyFont="1" applyFill="1" applyBorder="1"/>
    <xf numFmtId="0" fontId="69" fillId="2" borderId="42" xfId="0" applyFont="1" applyFill="1" applyBorder="1" applyAlignment="1">
      <alignment horizontal="center"/>
    </xf>
    <xf numFmtId="44" fontId="29" fillId="2" borderId="11" xfId="0" applyNumberFormat="1" applyFont="1" applyFill="1" applyBorder="1"/>
    <xf numFmtId="0" fontId="7" fillId="2" borderId="0" xfId="0" applyFont="1" applyFill="1" applyAlignment="1">
      <alignment horizontal="left" vertical="center" wrapText="1"/>
    </xf>
    <xf numFmtId="0" fontId="7" fillId="2" borderId="26" xfId="0" applyFont="1" applyFill="1" applyBorder="1" applyAlignment="1">
      <alignment horizontal="left" vertical="center" wrapText="1"/>
    </xf>
    <xf numFmtId="44" fontId="14" fillId="5" borderId="6" xfId="2" applyFont="1" applyFill="1" applyBorder="1"/>
    <xf numFmtId="0" fontId="0" fillId="2" borderId="57" xfId="0" applyFill="1" applyBorder="1"/>
    <xf numFmtId="9" fontId="2" fillId="2" borderId="0" xfId="3" applyFont="1" applyFill="1" applyBorder="1" applyAlignment="1">
      <alignment horizontal="right"/>
    </xf>
    <xf numFmtId="0" fontId="5" fillId="2" borderId="0" xfId="0" applyFont="1" applyFill="1" applyAlignment="1">
      <alignment horizontal="center"/>
    </xf>
    <xf numFmtId="0" fontId="45" fillId="2" borderId="26" xfId="0" applyFont="1" applyFill="1" applyBorder="1" applyAlignment="1">
      <alignment horizontal="center" vertical="center" wrapText="1"/>
    </xf>
    <xf numFmtId="0" fontId="13" fillId="2" borderId="28" xfId="0" applyFont="1" applyFill="1" applyBorder="1"/>
    <xf numFmtId="0" fontId="20" fillId="2" borderId="51" xfId="0" applyFont="1" applyFill="1" applyBorder="1"/>
    <xf numFmtId="165" fontId="2" fillId="2" borderId="26" xfId="2" applyNumberFormat="1" applyFont="1" applyFill="1" applyBorder="1" applyAlignment="1">
      <alignment horizontal="center"/>
    </xf>
    <xf numFmtId="0" fontId="72" fillId="2" borderId="26" xfId="0" applyFont="1" applyFill="1" applyBorder="1"/>
    <xf numFmtId="44" fontId="14" fillId="2" borderId="14" xfId="2" applyFont="1" applyFill="1" applyBorder="1"/>
    <xf numFmtId="0" fontId="2" fillId="2" borderId="47" xfId="0" applyFont="1" applyFill="1" applyBorder="1" applyAlignment="1">
      <alignment horizontal="right" vertical="center"/>
    </xf>
    <xf numFmtId="0" fontId="5" fillId="2" borderId="40" xfId="0" applyFont="1" applyFill="1" applyBorder="1" applyAlignment="1">
      <alignment horizontal="left" indent="3"/>
    </xf>
    <xf numFmtId="165" fontId="14" fillId="2" borderId="25" xfId="2" applyNumberFormat="1" applyFont="1" applyFill="1" applyBorder="1"/>
    <xf numFmtId="0" fontId="12" fillId="2" borderId="32" xfId="0" applyFont="1" applyFill="1" applyBorder="1"/>
    <xf numFmtId="0" fontId="12" fillId="2" borderId="81" xfId="0" applyFont="1" applyFill="1" applyBorder="1"/>
    <xf numFmtId="0" fontId="5" fillId="2" borderId="54" xfId="0" applyFont="1" applyFill="1" applyBorder="1" applyAlignment="1">
      <alignment horizontal="left" indent="3"/>
    </xf>
    <xf numFmtId="44" fontId="14" fillId="2" borderId="4" xfId="2" applyFont="1" applyFill="1" applyBorder="1"/>
    <xf numFmtId="44" fontId="14" fillId="0" borderId="82" xfId="2" applyFont="1" applyBorder="1"/>
    <xf numFmtId="165" fontId="14" fillId="0" borderId="86" xfId="2" applyNumberFormat="1" applyFont="1" applyBorder="1"/>
    <xf numFmtId="44" fontId="14" fillId="0" borderId="87" xfId="2" applyFont="1" applyBorder="1"/>
    <xf numFmtId="0" fontId="4" fillId="0" borderId="83" xfId="0" applyFont="1" applyBorder="1" applyAlignment="1">
      <alignment horizontal="left" indent="2"/>
    </xf>
    <xf numFmtId="0" fontId="5" fillId="0" borderId="84" xfId="0" applyFont="1" applyBorder="1" applyAlignment="1">
      <alignment horizontal="left" indent="3"/>
    </xf>
    <xf numFmtId="0" fontId="5" fillId="0" borderId="85" xfId="0" applyFont="1" applyBorder="1" applyAlignment="1">
      <alignment horizontal="left" indent="3"/>
    </xf>
    <xf numFmtId="0" fontId="73" fillId="2" borderId="0" xfId="0" applyFont="1" applyFill="1"/>
    <xf numFmtId="0" fontId="16" fillId="2" borderId="0" xfId="0" applyFont="1" applyFill="1" applyAlignment="1">
      <alignment horizontal="right" vertical="center"/>
    </xf>
    <xf numFmtId="0" fontId="0" fillId="2" borderId="88" xfId="0" applyFill="1" applyBorder="1"/>
    <xf numFmtId="0" fontId="75" fillId="2" borderId="0" xfId="0" applyFont="1" applyFill="1" applyAlignment="1">
      <alignment vertical="center"/>
    </xf>
    <xf numFmtId="0" fontId="5" fillId="2" borderId="91" xfId="0" applyFont="1" applyFill="1" applyBorder="1" applyAlignment="1">
      <alignment horizontal="left" indent="3"/>
    </xf>
    <xf numFmtId="44" fontId="14" fillId="2" borderId="92" xfId="2" applyFont="1" applyFill="1" applyBorder="1"/>
    <xf numFmtId="0" fontId="12" fillId="2" borderId="93" xfId="0" applyFont="1" applyFill="1" applyBorder="1"/>
    <xf numFmtId="0" fontId="5" fillId="2" borderId="62" xfId="0" applyFont="1" applyFill="1" applyBorder="1" applyAlignment="1">
      <alignment horizontal="left" indent="3"/>
    </xf>
    <xf numFmtId="44" fontId="14" fillId="2" borderId="63" xfId="2" applyFont="1" applyFill="1" applyBorder="1"/>
    <xf numFmtId="0" fontId="12" fillId="2" borderId="64" xfId="0" applyFont="1" applyFill="1" applyBorder="1"/>
    <xf numFmtId="0" fontId="4" fillId="5" borderId="50" xfId="0" applyFont="1" applyFill="1" applyBorder="1" applyAlignment="1">
      <alignment horizontal="left"/>
    </xf>
    <xf numFmtId="44" fontId="14" fillId="5" borderId="5" xfId="0" applyNumberFormat="1" applyFont="1" applyFill="1" applyBorder="1"/>
    <xf numFmtId="0" fontId="11" fillId="5" borderId="51" xfId="0" applyFont="1" applyFill="1" applyBorder="1"/>
    <xf numFmtId="9" fontId="2" fillId="2" borderId="97" xfId="3" applyFont="1" applyFill="1" applyBorder="1" applyAlignment="1">
      <alignment horizontal="right"/>
    </xf>
    <xf numFmtId="0" fontId="67" fillId="2" borderId="37" xfId="0" applyFont="1" applyFill="1" applyBorder="1"/>
    <xf numFmtId="0" fontId="0" fillId="2" borderId="39" xfId="0" applyFill="1" applyBorder="1"/>
    <xf numFmtId="0" fontId="0" fillId="2" borderId="54" xfId="0" applyFill="1" applyBorder="1"/>
    <xf numFmtId="44" fontId="14" fillId="2" borderId="105" xfId="2" applyFont="1" applyFill="1" applyBorder="1"/>
    <xf numFmtId="165" fontId="14" fillId="2" borderId="69" xfId="2" applyNumberFormat="1" applyFont="1" applyFill="1" applyBorder="1"/>
    <xf numFmtId="0" fontId="12" fillId="2" borderId="106" xfId="0" applyFont="1" applyFill="1" applyBorder="1"/>
    <xf numFmtId="44" fontId="77" fillId="2" borderId="0" xfId="0" applyNumberFormat="1" applyFont="1" applyFill="1" applyAlignment="1">
      <alignment wrapText="1"/>
    </xf>
    <xf numFmtId="0" fontId="4" fillId="2" borderId="38" xfId="0" applyFont="1" applyFill="1" applyBorder="1" applyAlignment="1">
      <alignment horizontal="left"/>
    </xf>
    <xf numFmtId="0" fontId="0" fillId="2" borderId="38" xfId="0" applyFill="1" applyBorder="1" applyAlignment="1">
      <alignment horizontal="left"/>
    </xf>
    <xf numFmtId="0" fontId="0" fillId="2" borderId="49" xfId="0" applyFill="1" applyBorder="1" applyAlignment="1">
      <alignment horizontal="left"/>
    </xf>
    <xf numFmtId="165" fontId="80" fillId="0" borderId="0" xfId="0" quotePrefix="1" applyNumberFormat="1" applyFont="1" applyAlignment="1">
      <alignment wrapText="1"/>
    </xf>
    <xf numFmtId="0" fontId="0" fillId="2" borderId="35" xfId="0" applyFill="1" applyBorder="1" applyAlignment="1">
      <alignment horizontal="left" indent="1"/>
    </xf>
    <xf numFmtId="1" fontId="2" fillId="0" borderId="35" xfId="0" applyNumberFormat="1" applyFont="1" applyBorder="1" applyAlignment="1">
      <alignment horizontal="center"/>
    </xf>
    <xf numFmtId="0" fontId="4" fillId="2" borderId="54" xfId="0" applyFont="1" applyFill="1" applyBorder="1" applyAlignment="1">
      <alignment horizontal="left" indent="3"/>
    </xf>
    <xf numFmtId="44" fontId="14" fillId="2" borderId="4" xfId="0" applyNumberFormat="1" applyFont="1" applyFill="1" applyBorder="1"/>
    <xf numFmtId="0" fontId="11" fillId="2" borderId="53" xfId="0" applyFont="1" applyFill="1" applyBorder="1"/>
    <xf numFmtId="0" fontId="5" fillId="2" borderId="57" xfId="0" applyFont="1" applyFill="1" applyBorder="1" applyAlignment="1">
      <alignment horizontal="left" indent="3"/>
    </xf>
    <xf numFmtId="0" fontId="0" fillId="2" borderId="108" xfId="0" applyFill="1" applyBorder="1"/>
    <xf numFmtId="0" fontId="0" fillId="2" borderId="29" xfId="0" applyFill="1" applyBorder="1"/>
    <xf numFmtId="6" fontId="0" fillId="2" borderId="0" xfId="0" applyNumberFormat="1" applyFill="1"/>
    <xf numFmtId="0" fontId="4" fillId="2" borderId="39" xfId="0" applyFont="1" applyFill="1" applyBorder="1" applyAlignment="1">
      <alignment horizontal="left"/>
    </xf>
    <xf numFmtId="44" fontId="81" fillId="2" borderId="0" xfId="0" applyNumberFormat="1" applyFont="1" applyFill="1"/>
    <xf numFmtId="44" fontId="62" fillId="2" borderId="4" xfId="0" applyNumberFormat="1" applyFont="1" applyFill="1" applyBorder="1"/>
    <xf numFmtId="0" fontId="63" fillId="2" borderId="53" xfId="0" applyFont="1" applyFill="1" applyBorder="1"/>
    <xf numFmtId="44" fontId="77" fillId="0" borderId="0" xfId="0" applyNumberFormat="1" applyFont="1" applyAlignment="1">
      <alignment wrapText="1"/>
    </xf>
    <xf numFmtId="0" fontId="76" fillId="5" borderId="0" xfId="0" applyFont="1" applyFill="1" applyAlignment="1">
      <alignment wrapText="1"/>
    </xf>
    <xf numFmtId="0" fontId="2" fillId="5" borderId="0" xfId="3" applyNumberFormat="1" applyFont="1" applyFill="1" applyBorder="1" applyAlignment="1">
      <alignment horizontal="right"/>
    </xf>
    <xf numFmtId="44" fontId="2" fillId="5" borderId="0" xfId="3" applyNumberFormat="1" applyFont="1" applyFill="1" applyBorder="1" applyAlignment="1">
      <alignment horizontal="right"/>
    </xf>
    <xf numFmtId="0" fontId="0" fillId="3" borderId="35" xfId="0" applyFill="1" applyBorder="1" applyAlignment="1">
      <alignment vertical="center"/>
    </xf>
    <xf numFmtId="0" fontId="2" fillId="2" borderId="0" xfId="0" applyFont="1" applyFill="1"/>
    <xf numFmtId="0" fontId="84" fillId="2" borderId="0" xfId="0" applyFont="1" applyFill="1"/>
    <xf numFmtId="0" fontId="0" fillId="2" borderId="44" xfId="0" applyFill="1" applyBorder="1"/>
    <xf numFmtId="0" fontId="0" fillId="2" borderId="24" xfId="0" applyFill="1" applyBorder="1"/>
    <xf numFmtId="0" fontId="15" fillId="2" borderId="81" xfId="0" applyFont="1" applyFill="1" applyBorder="1" applyAlignment="1">
      <alignment horizontal="right"/>
    </xf>
    <xf numFmtId="0" fontId="2" fillId="0" borderId="0" xfId="0" applyFont="1"/>
    <xf numFmtId="44" fontId="14" fillId="2" borderId="51" xfId="2" applyFont="1" applyFill="1" applyBorder="1"/>
    <xf numFmtId="44" fontId="14" fillId="2" borderId="32" xfId="2" applyFont="1" applyFill="1" applyBorder="1"/>
    <xf numFmtId="0" fontId="4" fillId="2" borderId="35" xfId="0" applyFont="1" applyFill="1" applyBorder="1"/>
    <xf numFmtId="0" fontId="7" fillId="2" borderId="0" xfId="0" applyFont="1" applyFill="1" applyAlignment="1">
      <alignment wrapText="1"/>
    </xf>
    <xf numFmtId="0" fontId="20" fillId="2" borderId="0" xfId="0" applyFont="1" applyFill="1" applyAlignment="1">
      <alignment vertical="center" wrapText="1"/>
    </xf>
    <xf numFmtId="0" fontId="0" fillId="2" borderId="26" xfId="0" applyFill="1" applyBorder="1" applyAlignment="1">
      <alignment horizontal="left" indent="1"/>
    </xf>
    <xf numFmtId="0" fontId="0" fillId="5" borderId="0" xfId="0" applyFill="1" applyAlignment="1">
      <alignment vertical="top" wrapText="1"/>
    </xf>
    <xf numFmtId="0" fontId="89" fillId="2" borderId="0" xfId="0" applyFont="1" applyFill="1"/>
    <xf numFmtId="0" fontId="82" fillId="4" borderId="110" xfId="0" applyFont="1" applyFill="1" applyBorder="1"/>
    <xf numFmtId="0" fontId="4" fillId="3" borderId="117" xfId="0" applyFont="1" applyFill="1" applyBorder="1" applyAlignment="1">
      <alignment horizontal="left" vertical="top" wrapText="1"/>
    </xf>
    <xf numFmtId="0" fontId="92" fillId="5" borderId="0" xfId="1" applyFont="1" applyFill="1" applyBorder="1" applyAlignment="1">
      <alignment wrapText="1"/>
    </xf>
    <xf numFmtId="0" fontId="5" fillId="2" borderId="38" xfId="0" applyFont="1" applyFill="1" applyBorder="1" applyAlignment="1">
      <alignment horizontal="left" indent="2"/>
    </xf>
    <xf numFmtId="0" fontId="5" fillId="0" borderId="35" xfId="0" applyFont="1" applyBorder="1" applyAlignment="1">
      <alignment horizontal="left" indent="2"/>
    </xf>
    <xf numFmtId="0" fontId="6" fillId="2" borderId="50" xfId="0" applyFont="1" applyFill="1" applyBorder="1" applyAlignment="1">
      <alignment horizontal="left" indent="2"/>
    </xf>
    <xf numFmtId="0" fontId="5" fillId="2" borderId="35" xfId="0" applyFont="1" applyFill="1" applyBorder="1"/>
    <xf numFmtId="0" fontId="5" fillId="2" borderId="0" xfId="0" applyFont="1" applyFill="1"/>
    <xf numFmtId="0" fontId="5" fillId="2" borderId="108" xfId="0" applyFont="1" applyFill="1" applyBorder="1" applyAlignment="1">
      <alignment horizontal="center"/>
    </xf>
    <xf numFmtId="0" fontId="95" fillId="2" borderId="0" xfId="0" applyFont="1" applyFill="1" applyAlignment="1">
      <alignment horizontal="center" wrapText="1"/>
    </xf>
    <xf numFmtId="0" fontId="95" fillId="2" borderId="26" xfId="0" applyFont="1" applyFill="1" applyBorder="1" applyAlignment="1">
      <alignment horizontal="center"/>
    </xf>
    <xf numFmtId="0" fontId="5" fillId="2" borderId="38" xfId="0" applyFont="1" applyFill="1" applyBorder="1" applyAlignment="1">
      <alignment horizontal="left" vertical="center" indent="3"/>
    </xf>
    <xf numFmtId="0" fontId="21" fillId="2" borderId="49" xfId="0" applyFont="1" applyFill="1" applyBorder="1" applyAlignment="1">
      <alignment horizontal="left" vertical="center" wrapText="1" indent="3"/>
    </xf>
    <xf numFmtId="0" fontId="5" fillId="2" borderId="49" xfId="0" applyFont="1" applyFill="1" applyBorder="1" applyAlignment="1">
      <alignment horizontal="left" vertical="center" wrapText="1" indent="3"/>
    </xf>
    <xf numFmtId="0" fontId="45" fillId="0" borderId="108" xfId="0" applyFont="1" applyBorder="1" applyAlignment="1">
      <alignment horizontal="right" vertical="center" wrapText="1"/>
    </xf>
    <xf numFmtId="0" fontId="2" fillId="0" borderId="36" xfId="0" applyFont="1" applyBorder="1" applyAlignment="1">
      <alignment horizontal="center" vertical="center"/>
    </xf>
    <xf numFmtId="0" fontId="2" fillId="2" borderId="38" xfId="0" applyFont="1" applyFill="1" applyBorder="1" applyAlignment="1">
      <alignment horizontal="center" vertical="center"/>
    </xf>
    <xf numFmtId="0" fontId="94" fillId="2" borderId="37" xfId="0" applyFont="1" applyFill="1" applyBorder="1"/>
    <xf numFmtId="0" fontId="94" fillId="2" borderId="9" xfId="0" applyFont="1" applyFill="1" applyBorder="1"/>
    <xf numFmtId="0" fontId="94" fillId="2" borderId="28" xfId="0" applyFont="1" applyFill="1" applyBorder="1"/>
    <xf numFmtId="0" fontId="96" fillId="2" borderId="35" xfId="0" applyFont="1" applyFill="1" applyBorder="1"/>
    <xf numFmtId="0" fontId="95" fillId="2" borderId="0" xfId="0" applyFont="1" applyFill="1" applyAlignment="1">
      <alignment horizontal="center" vertical="center" wrapText="1"/>
    </xf>
    <xf numFmtId="44" fontId="14" fillId="2" borderId="6" xfId="2" applyFont="1" applyFill="1" applyBorder="1" applyAlignment="1">
      <alignment vertical="top"/>
    </xf>
    <xf numFmtId="0" fontId="5" fillId="2" borderId="38" xfId="0" applyFont="1" applyFill="1" applyBorder="1" applyAlignment="1">
      <alignment horizontal="left" vertical="top" indent="3"/>
    </xf>
    <xf numFmtId="0" fontId="0" fillId="2" borderId="49" xfId="0" applyFill="1" applyBorder="1" applyAlignment="1">
      <alignment horizontal="left" indent="1"/>
    </xf>
    <xf numFmtId="0" fontId="0" fillId="2" borderId="38" xfId="0" applyFill="1" applyBorder="1" applyAlignment="1">
      <alignment horizontal="left" indent="1"/>
    </xf>
    <xf numFmtId="0" fontId="96" fillId="2" borderId="26" xfId="0" applyFont="1" applyFill="1" applyBorder="1" applyAlignment="1">
      <alignment horizontal="center"/>
    </xf>
    <xf numFmtId="0" fontId="88" fillId="2" borderId="108" xfId="0" applyFont="1" applyFill="1" applyBorder="1" applyAlignment="1">
      <alignment horizontal="right" vertical="center"/>
    </xf>
    <xf numFmtId="9" fontId="10" fillId="2" borderId="108" xfId="3" applyFont="1" applyFill="1" applyBorder="1" applyAlignment="1">
      <alignment horizontal="right"/>
    </xf>
    <xf numFmtId="0" fontId="95" fillId="2" borderId="108" xfId="0" applyFont="1" applyFill="1" applyBorder="1" applyAlignment="1">
      <alignment horizontal="center"/>
    </xf>
    <xf numFmtId="0" fontId="96" fillId="3" borderId="0" xfId="0" applyFont="1" applyFill="1"/>
    <xf numFmtId="0" fontId="96" fillId="3" borderId="26" xfId="0" applyFont="1" applyFill="1" applyBorder="1"/>
    <xf numFmtId="9" fontId="0" fillId="0" borderId="0" xfId="3" applyFont="1" applyFill="1" applyBorder="1"/>
    <xf numFmtId="9" fontId="21" fillId="0" borderId="0" xfId="3" applyFont="1" applyFill="1" applyBorder="1" applyAlignment="1">
      <alignment vertical="center" wrapText="1"/>
    </xf>
    <xf numFmtId="44" fontId="0" fillId="2" borderId="35" xfId="0" applyNumberFormat="1" applyFill="1" applyBorder="1" applyAlignment="1">
      <alignment horizontal="right"/>
    </xf>
    <xf numFmtId="44" fontId="15" fillId="2" borderId="81" xfId="2" applyFont="1" applyFill="1" applyBorder="1" applyAlignment="1">
      <alignment horizontal="right"/>
    </xf>
    <xf numFmtId="44" fontId="24" fillId="2" borderId="44" xfId="2" applyFont="1" applyFill="1" applyBorder="1"/>
    <xf numFmtId="44" fontId="24" fillId="2" borderId="81" xfId="2" applyFont="1" applyFill="1" applyBorder="1"/>
    <xf numFmtId="44" fontId="24" fillId="2" borderId="51" xfId="0" applyNumberFormat="1" applyFont="1" applyFill="1" applyBorder="1"/>
    <xf numFmtId="44" fontId="24" fillId="2" borderId="26" xfId="0" applyNumberFormat="1" applyFont="1" applyFill="1" applyBorder="1"/>
    <xf numFmtId="0" fontId="51" fillId="2" borderId="81" xfId="0" applyFont="1" applyFill="1" applyBorder="1"/>
    <xf numFmtId="44" fontId="24" fillId="2" borderId="26" xfId="2" applyFont="1" applyFill="1" applyBorder="1"/>
    <xf numFmtId="0" fontId="98" fillId="2" borderId="51" xfId="0" applyFont="1" applyFill="1" applyBorder="1"/>
    <xf numFmtId="0" fontId="98" fillId="2" borderId="26" xfId="0" applyFont="1" applyFill="1" applyBorder="1"/>
    <xf numFmtId="0" fontId="51" fillId="3" borderId="26" xfId="0" applyFont="1" applyFill="1" applyBorder="1"/>
    <xf numFmtId="0" fontId="51" fillId="2" borderId="26" xfId="0" applyFont="1" applyFill="1" applyBorder="1"/>
    <xf numFmtId="0" fontId="15" fillId="2" borderId="30" xfId="0" applyFont="1" applyFill="1" applyBorder="1" applyAlignment="1">
      <alignment horizontal="right" wrapText="1"/>
    </xf>
    <xf numFmtId="0" fontId="15" fillId="2" borderId="31" xfId="0" applyFont="1" applyFill="1" applyBorder="1" applyAlignment="1">
      <alignment horizontal="right" vertical="top" wrapText="1"/>
    </xf>
    <xf numFmtId="0" fontId="0" fillId="2" borderId="0" xfId="0" applyFill="1" applyAlignment="1">
      <alignment wrapText="1"/>
    </xf>
    <xf numFmtId="0" fontId="7" fillId="2" borderId="0" xfId="0" applyFont="1" applyFill="1" applyAlignment="1">
      <alignment horizontal="left" wrapText="1"/>
    </xf>
    <xf numFmtId="0" fontId="7" fillId="2" borderId="26" xfId="0" applyFont="1" applyFill="1" applyBorder="1" applyAlignment="1">
      <alignment horizontal="left" wrapText="1"/>
    </xf>
    <xf numFmtId="0" fontId="7" fillId="2" borderId="35" xfId="0" applyFont="1" applyFill="1" applyBorder="1" applyAlignment="1">
      <alignment horizontal="left" vertical="center" wrapText="1"/>
    </xf>
    <xf numFmtId="0" fontId="71" fillId="2" borderId="0" xfId="0" applyFont="1" applyFill="1" applyAlignment="1">
      <alignment vertical="center"/>
    </xf>
    <xf numFmtId="0" fontId="26" fillId="2" borderId="26" xfId="0" applyFont="1" applyFill="1" applyBorder="1"/>
    <xf numFmtId="0" fontId="100" fillId="2" borderId="34" xfId="0" applyFont="1" applyFill="1" applyBorder="1"/>
    <xf numFmtId="0" fontId="100" fillId="2" borderId="33" xfId="0" applyFont="1" applyFill="1" applyBorder="1"/>
    <xf numFmtId="0" fontId="66" fillId="2" borderId="26" xfId="0" applyFont="1" applyFill="1" applyBorder="1"/>
    <xf numFmtId="0" fontId="66" fillId="2" borderId="51" xfId="0" applyFont="1" applyFill="1" applyBorder="1"/>
    <xf numFmtId="44" fontId="68" fillId="0" borderId="6" xfId="2" applyFont="1" applyFill="1" applyBorder="1"/>
    <xf numFmtId="0" fontId="34" fillId="2" borderId="49" xfId="0" applyFont="1" applyFill="1" applyBorder="1" applyAlignment="1">
      <alignment horizontal="left" indent="3"/>
    </xf>
    <xf numFmtId="44" fontId="68" fillId="0" borderId="10" xfId="2" applyFont="1" applyFill="1" applyBorder="1"/>
    <xf numFmtId="0" fontId="101" fillId="2" borderId="50" xfId="0" applyFont="1" applyFill="1" applyBorder="1" applyAlignment="1">
      <alignment horizontal="left" indent="3"/>
    </xf>
    <xf numFmtId="0" fontId="102" fillId="2" borderId="0" xfId="0" applyFont="1" applyFill="1"/>
    <xf numFmtId="0" fontId="30" fillId="2" borderId="38" xfId="0" applyFont="1" applyFill="1" applyBorder="1"/>
    <xf numFmtId="0" fontId="26" fillId="3" borderId="26" xfId="0" applyFont="1" applyFill="1" applyBorder="1"/>
    <xf numFmtId="0" fontId="103" fillId="2" borderId="28" xfId="0" applyFont="1" applyFill="1" applyBorder="1"/>
    <xf numFmtId="0" fontId="67" fillId="2" borderId="9" xfId="0" applyFont="1" applyFill="1" applyBorder="1"/>
    <xf numFmtId="9" fontId="32" fillId="2" borderId="0" xfId="3" applyFont="1" applyFill="1" applyBorder="1" applyAlignment="1">
      <alignment horizontal="right"/>
    </xf>
    <xf numFmtId="9" fontId="32" fillId="2" borderId="26" xfId="3" applyFont="1" applyFill="1" applyBorder="1" applyAlignment="1">
      <alignment horizontal="right"/>
    </xf>
    <xf numFmtId="0" fontId="14" fillId="2" borderId="24" xfId="0" applyFont="1" applyFill="1" applyBorder="1"/>
    <xf numFmtId="0" fontId="12" fillId="2" borderId="127" xfId="0" applyFont="1" applyFill="1" applyBorder="1"/>
    <xf numFmtId="44" fontId="96" fillId="2" borderId="0" xfId="0" applyNumberFormat="1" applyFont="1" applyFill="1"/>
    <xf numFmtId="0" fontId="12" fillId="2" borderId="44" xfId="0" applyFont="1" applyFill="1" applyBorder="1"/>
    <xf numFmtId="0" fontId="0" fillId="2" borderId="129" xfId="0" applyFill="1" applyBorder="1"/>
    <xf numFmtId="0" fontId="55" fillId="2" borderId="35" xfId="0" applyFont="1" applyFill="1" applyBorder="1"/>
    <xf numFmtId="0" fontId="15" fillId="2" borderId="106" xfId="0" applyFont="1" applyFill="1" applyBorder="1" applyAlignment="1">
      <alignment horizontal="right" wrapText="1"/>
    </xf>
    <xf numFmtId="0" fontId="4" fillId="2" borderId="0" xfId="0" applyFont="1" applyFill="1" applyAlignment="1">
      <alignment horizontal="left" indent="2"/>
    </xf>
    <xf numFmtId="0" fontId="46" fillId="2" borderId="6" xfId="0" applyFont="1" applyFill="1" applyBorder="1"/>
    <xf numFmtId="0" fontId="5" fillId="2" borderId="6" xfId="0" applyFont="1" applyFill="1" applyBorder="1" applyAlignment="1">
      <alignment horizontal="left" indent="3"/>
    </xf>
    <xf numFmtId="0" fontId="6" fillId="2" borderId="5" xfId="0" applyFont="1" applyFill="1" applyBorder="1" applyAlignment="1">
      <alignment horizontal="left" indent="3"/>
    </xf>
    <xf numFmtId="0" fontId="4" fillId="2" borderId="5" xfId="0" applyFont="1" applyFill="1" applyBorder="1" applyAlignment="1">
      <alignment horizontal="left" indent="3"/>
    </xf>
    <xf numFmtId="0" fontId="4" fillId="2" borderId="0" xfId="0" applyFont="1" applyFill="1" applyAlignment="1">
      <alignment horizontal="left" indent="3"/>
    </xf>
    <xf numFmtId="0" fontId="4" fillId="2" borderId="5" xfId="0" applyFont="1" applyFill="1" applyBorder="1" applyAlignment="1">
      <alignment horizontal="left"/>
    </xf>
    <xf numFmtId="0" fontId="4" fillId="2" borderId="0" xfId="0" applyFont="1" applyFill="1" applyAlignment="1">
      <alignment horizontal="left"/>
    </xf>
    <xf numFmtId="0" fontId="19" fillId="2" borderId="12" xfId="0" applyFont="1" applyFill="1" applyBorder="1" applyAlignment="1">
      <alignment horizontal="center"/>
    </xf>
    <xf numFmtId="0" fontId="19" fillId="2" borderId="5" xfId="0" applyFont="1" applyFill="1" applyBorder="1" applyAlignment="1">
      <alignment horizontal="center"/>
    </xf>
    <xf numFmtId="0" fontId="93" fillId="2" borderId="26" xfId="0" applyFont="1" applyFill="1" applyBorder="1"/>
    <xf numFmtId="0" fontId="16" fillId="2" borderId="26" xfId="0" applyFont="1" applyFill="1" applyBorder="1" applyAlignment="1">
      <alignment horizontal="right" vertical="center"/>
    </xf>
    <xf numFmtId="0" fontId="0" fillId="2" borderId="26" xfId="0" applyFill="1" applyBorder="1" applyAlignment="1">
      <alignment horizontal="right"/>
    </xf>
    <xf numFmtId="0" fontId="23" fillId="2" borderId="44" xfId="0" applyFont="1" applyFill="1" applyBorder="1"/>
    <xf numFmtId="44" fontId="14" fillId="0" borderId="6" xfId="2" applyFont="1" applyFill="1" applyBorder="1"/>
    <xf numFmtId="0" fontId="1" fillId="2" borderId="35" xfId="1" applyFill="1" applyBorder="1"/>
    <xf numFmtId="0" fontId="0" fillId="2" borderId="0" xfId="0" applyFill="1" applyAlignment="1">
      <alignment vertical="center"/>
    </xf>
    <xf numFmtId="0" fontId="0" fillId="2" borderId="61" xfId="0" applyFill="1" applyBorder="1"/>
    <xf numFmtId="0" fontId="0" fillId="2" borderId="132" xfId="0" applyFill="1" applyBorder="1"/>
    <xf numFmtId="0" fontId="0" fillId="2" borderId="133" xfId="0" applyFill="1" applyBorder="1"/>
    <xf numFmtId="0" fontId="21" fillId="0" borderId="0" xfId="3" applyNumberFormat="1" applyFont="1" applyAlignment="1">
      <alignment vertical="center" wrapText="1"/>
    </xf>
    <xf numFmtId="0" fontId="19" fillId="2" borderId="35" xfId="0" applyFont="1" applyFill="1" applyBorder="1" applyAlignment="1">
      <alignment horizontal="center"/>
    </xf>
    <xf numFmtId="44" fontId="2" fillId="2" borderId="0" xfId="0" applyNumberFormat="1" applyFont="1" applyFill="1"/>
    <xf numFmtId="0" fontId="55" fillId="2" borderId="26" xfId="0" applyFont="1" applyFill="1" applyBorder="1"/>
    <xf numFmtId="0" fontId="0" fillId="2" borderId="14" xfId="0" applyFill="1" applyBorder="1"/>
    <xf numFmtId="0" fontId="0" fillId="2" borderId="30" xfId="0" applyFill="1" applyBorder="1"/>
    <xf numFmtId="0" fontId="55" fillId="2" borderId="39" xfId="0" applyFont="1" applyFill="1" applyBorder="1"/>
    <xf numFmtId="0" fontId="55" fillId="4" borderId="110" xfId="0" applyFont="1" applyFill="1" applyBorder="1"/>
    <xf numFmtId="0" fontId="55" fillId="4" borderId="107" xfId="0" applyFont="1" applyFill="1" applyBorder="1"/>
    <xf numFmtId="0" fontId="2" fillId="3" borderId="114" xfId="0" applyFont="1" applyFill="1" applyBorder="1" applyAlignment="1">
      <alignment vertical="top" wrapText="1"/>
    </xf>
    <xf numFmtId="0" fontId="55" fillId="3" borderId="0" xfId="0" applyFont="1" applyFill="1" applyAlignment="1">
      <alignment horizontal="left" vertical="top" wrapText="1"/>
    </xf>
    <xf numFmtId="0" fontId="55" fillId="3" borderId="117" xfId="0" applyFont="1" applyFill="1" applyBorder="1" applyAlignment="1">
      <alignment horizontal="left" vertical="top" wrapText="1"/>
    </xf>
    <xf numFmtId="0" fontId="55" fillId="4" borderId="71" xfId="0" applyFont="1" applyFill="1" applyBorder="1"/>
    <xf numFmtId="44" fontId="62" fillId="2" borderId="0" xfId="0" applyNumberFormat="1" applyFont="1" applyFill="1" applyAlignment="1">
      <alignment horizontal="center"/>
    </xf>
    <xf numFmtId="0" fontId="4" fillId="2" borderId="14" xfId="0" applyFont="1" applyFill="1" applyBorder="1"/>
    <xf numFmtId="0" fontId="0" fillId="2" borderId="131" xfId="0" applyFill="1" applyBorder="1"/>
    <xf numFmtId="0" fontId="1" fillId="2" borderId="10" xfId="1" applyFill="1" applyBorder="1"/>
    <xf numFmtId="0" fontId="0" fillId="2" borderId="130" xfId="0" applyFill="1" applyBorder="1"/>
    <xf numFmtId="0" fontId="61" fillId="2" borderId="57" xfId="0" applyFont="1" applyFill="1" applyBorder="1" applyAlignment="1">
      <alignment horizontal="center"/>
    </xf>
    <xf numFmtId="44" fontId="62" fillId="2" borderId="108" xfId="0" applyNumberFormat="1" applyFont="1" applyFill="1" applyBorder="1"/>
    <xf numFmtId="0" fontId="61" fillId="2" borderId="135" xfId="0" applyFont="1" applyFill="1" applyBorder="1" applyAlignment="1">
      <alignment horizontal="center"/>
    </xf>
    <xf numFmtId="44" fontId="62" fillId="2" borderId="137" xfId="0" applyNumberFormat="1" applyFont="1" applyFill="1" applyBorder="1"/>
    <xf numFmtId="164" fontId="14" fillId="0" borderId="6" xfId="2" applyNumberFormat="1" applyFont="1" applyFill="1" applyBorder="1"/>
    <xf numFmtId="42" fontId="14" fillId="0" borderId="6" xfId="2" applyNumberFormat="1" applyFont="1" applyFill="1" applyBorder="1"/>
    <xf numFmtId="0" fontId="1" fillId="2" borderId="35" xfId="1" applyFill="1" applyBorder="1" applyAlignment="1">
      <alignment horizontal="left" vertical="top"/>
    </xf>
    <xf numFmtId="0" fontId="108" fillId="2" borderId="91" xfId="0" applyFont="1" applyFill="1" applyBorder="1"/>
    <xf numFmtId="0" fontId="108" fillId="2" borderId="92" xfId="0" applyFont="1" applyFill="1" applyBorder="1"/>
    <xf numFmtId="0" fontId="108" fillId="2" borderId="93" xfId="0" applyFont="1" applyFill="1" applyBorder="1"/>
    <xf numFmtId="0" fontId="0" fillId="2" borderId="91" xfId="0" applyFill="1" applyBorder="1"/>
    <xf numFmtId="0" fontId="0" fillId="2" borderId="92" xfId="0" applyFill="1" applyBorder="1"/>
    <xf numFmtId="0" fontId="0" fillId="2" borderId="93" xfId="0" applyFill="1" applyBorder="1"/>
    <xf numFmtId="0" fontId="4" fillId="2" borderId="68" xfId="0" applyFont="1" applyFill="1" applyBorder="1" applyAlignment="1">
      <alignment horizontal="left" indent="2"/>
    </xf>
    <xf numFmtId="44" fontId="14" fillId="2" borderId="24" xfId="2" applyFont="1" applyFill="1" applyBorder="1"/>
    <xf numFmtId="44" fontId="111" fillId="2" borderId="0" xfId="2" applyFont="1" applyFill="1" applyBorder="1"/>
    <xf numFmtId="0" fontId="13" fillId="2" borderId="40" xfId="0" applyFont="1" applyFill="1" applyBorder="1"/>
    <xf numFmtId="0" fontId="13" fillId="2" borderId="25" xfId="0" applyFont="1" applyFill="1" applyBorder="1"/>
    <xf numFmtId="0" fontId="8" fillId="2" borderId="32" xfId="0" applyFont="1" applyFill="1" applyBorder="1"/>
    <xf numFmtId="0" fontId="5" fillId="2" borderId="38" xfId="0" applyFont="1" applyFill="1" applyBorder="1" applyAlignment="1">
      <alignment horizontal="left" indent="5"/>
    </xf>
    <xf numFmtId="0" fontId="0" fillId="2" borderId="138" xfId="0" applyFill="1" applyBorder="1"/>
    <xf numFmtId="0" fontId="15" fillId="2" borderId="29" xfId="0" applyFont="1" applyFill="1" applyBorder="1" applyAlignment="1">
      <alignment horizontal="right" vertical="top" wrapText="1"/>
    </xf>
    <xf numFmtId="0" fontId="0" fillId="2" borderId="0" xfId="0" applyFill="1" applyAlignment="1">
      <alignment horizontal="left" wrapText="1"/>
    </xf>
    <xf numFmtId="0" fontId="15" fillId="2" borderId="44" xfId="0" applyFont="1" applyFill="1" applyBorder="1" applyAlignment="1">
      <alignment horizontal="right"/>
    </xf>
    <xf numFmtId="0" fontId="51" fillId="2" borderId="81" xfId="0" applyFont="1" applyFill="1" applyBorder="1" applyAlignment="1">
      <alignment vertical="center" wrapText="1"/>
    </xf>
    <xf numFmtId="0" fontId="0" fillId="3" borderId="44" xfId="0" applyFill="1" applyBorder="1"/>
    <xf numFmtId="0" fontId="13" fillId="2" borderId="143" xfId="0" applyFont="1" applyFill="1" applyBorder="1"/>
    <xf numFmtId="0" fontId="13" fillId="2" borderId="142" xfId="0" applyFont="1" applyFill="1" applyBorder="1"/>
    <xf numFmtId="0" fontId="13" fillId="2" borderId="145" xfId="0" applyFont="1" applyFill="1" applyBorder="1"/>
    <xf numFmtId="0" fontId="0" fillId="3" borderId="24" xfId="0" applyFill="1" applyBorder="1"/>
    <xf numFmtId="0" fontId="115" fillId="2" borderId="43" xfId="0" applyFont="1" applyFill="1" applyBorder="1"/>
    <xf numFmtId="44" fontId="11" fillId="2" borderId="24" xfId="2" applyFont="1" applyFill="1" applyBorder="1"/>
    <xf numFmtId="0" fontId="5" fillId="2" borderId="101" xfId="0" applyFont="1" applyFill="1" applyBorder="1" applyAlignment="1">
      <alignment horizontal="left" indent="3"/>
    </xf>
    <xf numFmtId="44" fontId="14" fillId="2" borderId="128" xfId="2" applyFont="1" applyFill="1" applyBorder="1"/>
    <xf numFmtId="44" fontId="11" fillId="2" borderId="128" xfId="2" applyFont="1" applyFill="1" applyBorder="1"/>
    <xf numFmtId="0" fontId="5" fillId="2" borderId="101" xfId="0" applyFont="1" applyFill="1" applyBorder="1" applyAlignment="1">
      <alignment horizontal="left" wrapText="1" indent="3"/>
    </xf>
    <xf numFmtId="0" fontId="115" fillId="2" borderId="101" xfId="0" applyFont="1" applyFill="1" applyBorder="1"/>
    <xf numFmtId="0" fontId="21" fillId="2" borderId="101" xfId="0" applyFont="1" applyFill="1" applyBorder="1" applyAlignment="1">
      <alignment horizontal="left" indent="3"/>
    </xf>
    <xf numFmtId="0" fontId="23" fillId="0" borderId="0" xfId="0" applyFont="1"/>
    <xf numFmtId="0" fontId="5" fillId="2" borderId="147" xfId="0" applyFont="1" applyFill="1" applyBorder="1" applyAlignment="1">
      <alignment horizontal="left" indent="3"/>
    </xf>
    <xf numFmtId="44" fontId="11" fillId="2" borderId="0" xfId="0" applyNumberFormat="1" applyFont="1" applyFill="1"/>
    <xf numFmtId="0" fontId="23" fillId="2" borderId="0" xfId="0" applyFont="1" applyFill="1" applyAlignment="1">
      <alignment horizontal="right"/>
    </xf>
    <xf numFmtId="0" fontId="21" fillId="2" borderId="35" xfId="0" applyFont="1" applyFill="1" applyBorder="1" applyAlignment="1">
      <alignment horizontal="left" indent="3"/>
    </xf>
    <xf numFmtId="0" fontId="55" fillId="2" borderId="40" xfId="0" applyFont="1" applyFill="1" applyBorder="1"/>
    <xf numFmtId="0" fontId="0" fillId="2" borderId="25" xfId="0" applyFill="1" applyBorder="1"/>
    <xf numFmtId="0" fontId="0" fillId="2" borderId="25" xfId="0" applyFill="1" applyBorder="1" applyAlignment="1">
      <alignment horizontal="center"/>
    </xf>
    <xf numFmtId="0" fontId="0" fillId="2" borderId="32" xfId="0" applyFill="1" applyBorder="1" applyAlignment="1">
      <alignment horizontal="center"/>
    </xf>
    <xf numFmtId="0" fontId="55" fillId="2" borderId="35" xfId="0" applyFont="1" applyFill="1" applyBorder="1" applyAlignment="1">
      <alignment horizontal="left" vertical="center"/>
    </xf>
    <xf numFmtId="0" fontId="0" fillId="3" borderId="107" xfId="0" applyFill="1" applyBorder="1"/>
    <xf numFmtId="0" fontId="2" fillId="3" borderId="3" xfId="0" applyFont="1" applyFill="1" applyBorder="1" applyAlignment="1">
      <alignment vertical="top" wrapText="1"/>
    </xf>
    <xf numFmtId="0" fontId="0" fillId="3" borderId="2" xfId="0" applyFill="1" applyBorder="1"/>
    <xf numFmtId="0" fontId="0" fillId="3" borderId="18" xfId="0" applyFill="1" applyBorder="1"/>
    <xf numFmtId="0" fontId="55" fillId="4" borderId="16" xfId="0" applyFont="1" applyFill="1" applyBorder="1"/>
    <xf numFmtId="0" fontId="55" fillId="4" borderId="5" xfId="0" applyFont="1" applyFill="1" applyBorder="1"/>
    <xf numFmtId="0" fontId="55" fillId="8" borderId="5" xfId="0" applyFont="1" applyFill="1" applyBorder="1"/>
    <xf numFmtId="0" fontId="0" fillId="8" borderId="15" xfId="0" applyFill="1" applyBorder="1"/>
    <xf numFmtId="6" fontId="15" fillId="2" borderId="29" xfId="0" applyNumberFormat="1" applyFont="1" applyFill="1" applyBorder="1" applyAlignment="1">
      <alignment horizontal="right" wrapText="1"/>
    </xf>
    <xf numFmtId="0" fontId="0" fillId="2" borderId="149" xfId="0" applyFill="1" applyBorder="1"/>
    <xf numFmtId="0" fontId="0" fillId="2" borderId="150" xfId="0" applyFill="1" applyBorder="1"/>
    <xf numFmtId="0" fontId="0" fillId="2" borderId="65" xfId="0" applyFill="1" applyBorder="1"/>
    <xf numFmtId="0" fontId="89" fillId="2" borderId="24" xfId="0" applyFont="1" applyFill="1" applyBorder="1"/>
    <xf numFmtId="0" fontId="89" fillId="2" borderId="129" xfId="0" applyFont="1" applyFill="1" applyBorder="1"/>
    <xf numFmtId="0" fontId="116" fillId="2" borderId="0" xfId="0" applyFont="1" applyFill="1" applyAlignment="1">
      <alignment vertical="center"/>
    </xf>
    <xf numFmtId="0" fontId="119" fillId="2" borderId="0" xfId="1" applyFont="1" applyFill="1" applyAlignment="1">
      <alignment vertical="center"/>
    </xf>
    <xf numFmtId="0" fontId="119" fillId="2" borderId="0" xfId="1" applyFont="1" applyFill="1" applyBorder="1" applyAlignment="1">
      <alignment vertical="center"/>
    </xf>
    <xf numFmtId="0" fontId="121" fillId="2" borderId="0" xfId="0" applyFont="1" applyFill="1" applyAlignment="1">
      <alignment horizontal="center" vertical="center"/>
    </xf>
    <xf numFmtId="0" fontId="123" fillId="2" borderId="0" xfId="0" applyFont="1" applyFill="1" applyAlignment="1">
      <alignment horizontal="left" vertical="center" wrapText="1"/>
    </xf>
    <xf numFmtId="0" fontId="45" fillId="2" borderId="106" xfId="0" applyFont="1" applyFill="1" applyBorder="1" applyAlignment="1">
      <alignment wrapText="1"/>
    </xf>
    <xf numFmtId="0" fontId="52" fillId="2" borderId="0" xfId="0" applyFont="1" applyFill="1" applyAlignment="1">
      <alignment horizontal="center" wrapText="1"/>
    </xf>
    <xf numFmtId="44" fontId="111" fillId="2" borderId="92" xfId="2" applyFont="1" applyFill="1" applyBorder="1"/>
    <xf numFmtId="0" fontId="20" fillId="5" borderId="0" xfId="0" applyFont="1" applyFill="1" applyAlignment="1">
      <alignment horizontal="left" vertical="top" wrapText="1"/>
    </xf>
    <xf numFmtId="0" fontId="0" fillId="3" borderId="3" xfId="0" applyFill="1" applyBorder="1" applyAlignment="1">
      <alignment horizontal="left" vertical="top"/>
    </xf>
    <xf numFmtId="0" fontId="91" fillId="5" borderId="0" xfId="0" applyFont="1" applyFill="1" applyAlignment="1">
      <alignment wrapText="1"/>
    </xf>
    <xf numFmtId="0" fontId="23" fillId="5" borderId="0" xfId="0" applyFont="1" applyFill="1" applyAlignment="1">
      <alignment vertical="top" wrapText="1"/>
    </xf>
    <xf numFmtId="0" fontId="88" fillId="2" borderId="93" xfId="0" applyFont="1" applyFill="1" applyBorder="1"/>
    <xf numFmtId="9" fontId="21" fillId="0" borderId="0" xfId="3" applyFont="1" applyAlignment="1">
      <alignment vertical="center" wrapText="1"/>
    </xf>
    <xf numFmtId="44" fontId="2" fillId="0" borderId="0" xfId="3" applyNumberFormat="1" applyFont="1" applyFill="1" applyBorder="1" applyAlignment="1">
      <alignment horizontal="right"/>
    </xf>
    <xf numFmtId="44" fontId="77" fillId="2" borderId="69" xfId="0" applyNumberFormat="1" applyFont="1" applyFill="1" applyBorder="1" applyAlignment="1">
      <alignment wrapText="1"/>
    </xf>
    <xf numFmtId="0" fontId="2" fillId="0" borderId="7" xfId="0" applyFont="1" applyBorder="1" applyAlignment="1">
      <alignment horizontal="center"/>
    </xf>
    <xf numFmtId="9" fontId="2" fillId="5" borderId="0" xfId="3" applyFont="1" applyFill="1" applyBorder="1" applyAlignment="1">
      <alignment horizontal="right"/>
    </xf>
    <xf numFmtId="165" fontId="2" fillId="2" borderId="108" xfId="2" applyNumberFormat="1" applyFont="1" applyFill="1" applyBorder="1" applyAlignment="1">
      <alignment horizontal="center"/>
    </xf>
    <xf numFmtId="165" fontId="2" fillId="5" borderId="108" xfId="2" applyNumberFormat="1" applyFont="1" applyFill="1" applyBorder="1" applyAlignment="1">
      <alignment horizontal="center"/>
    </xf>
    <xf numFmtId="165" fontId="23" fillId="5" borderId="108" xfId="2" applyNumberFormat="1" applyFont="1" applyFill="1" applyBorder="1" applyAlignment="1">
      <alignment horizontal="center"/>
    </xf>
    <xf numFmtId="0" fontId="5" fillId="2" borderId="38" xfId="0" applyFont="1" applyFill="1" applyBorder="1" applyAlignment="1">
      <alignment horizontal="left" vertical="center"/>
    </xf>
    <xf numFmtId="0" fontId="21" fillId="2" borderId="49" xfId="0" applyFont="1" applyFill="1" applyBorder="1" applyAlignment="1">
      <alignment horizontal="left" vertical="center" wrapText="1"/>
    </xf>
    <xf numFmtId="0" fontId="5" fillId="2" borderId="49" xfId="0" applyFont="1" applyFill="1" applyBorder="1" applyAlignment="1">
      <alignment horizontal="left" vertical="center"/>
    </xf>
    <xf numFmtId="0" fontId="0" fillId="3" borderId="35" xfId="0" applyFill="1" applyBorder="1" applyAlignment="1">
      <alignment horizontal="left" vertical="center" indent="1"/>
    </xf>
    <xf numFmtId="0" fontId="5" fillId="2" borderId="38" xfId="0" applyFont="1" applyFill="1" applyBorder="1" applyAlignment="1">
      <alignment horizontal="left" vertical="center" indent="2"/>
    </xf>
    <xf numFmtId="164" fontId="14" fillId="2" borderId="6" xfId="2" applyNumberFormat="1" applyFont="1" applyFill="1" applyBorder="1" applyAlignment="1">
      <alignment vertical="center"/>
    </xf>
    <xf numFmtId="0" fontId="15" fillId="2" borderId="29" xfId="0" applyFont="1" applyFill="1" applyBorder="1" applyAlignment="1">
      <alignment horizontal="right" vertical="center"/>
    </xf>
    <xf numFmtId="0" fontId="15" fillId="2" borderId="31" xfId="0" applyFont="1" applyFill="1" applyBorder="1" applyAlignment="1">
      <alignment horizontal="right" vertical="center"/>
    </xf>
    <xf numFmtId="0" fontId="21" fillId="2" borderId="49" xfId="0" applyFont="1" applyFill="1" applyBorder="1" applyAlignment="1">
      <alignment horizontal="left" vertical="center"/>
    </xf>
    <xf numFmtId="164" fontId="14" fillId="6" borderId="6" xfId="2" applyNumberFormat="1" applyFont="1" applyFill="1" applyBorder="1" applyAlignment="1">
      <alignment vertical="center"/>
    </xf>
    <xf numFmtId="0" fontId="15" fillId="2" borderId="31" xfId="0" applyFont="1" applyFill="1" applyBorder="1" applyAlignment="1">
      <alignment horizontal="right" vertical="center" wrapText="1"/>
    </xf>
    <xf numFmtId="0" fontId="6" fillId="2" borderId="38" xfId="0" applyFont="1" applyFill="1" applyBorder="1" applyAlignment="1">
      <alignment horizontal="left" vertical="center"/>
    </xf>
    <xf numFmtId="44" fontId="11" fillId="2" borderId="6" xfId="2" applyFont="1" applyFill="1" applyBorder="1" applyAlignment="1">
      <alignment vertical="center"/>
    </xf>
    <xf numFmtId="0" fontId="51" fillId="2" borderId="31" xfId="0" applyFont="1" applyFill="1" applyBorder="1" applyAlignment="1">
      <alignment horizontal="right" vertical="center"/>
    </xf>
    <xf numFmtId="0" fontId="4" fillId="2" borderId="38" xfId="0" applyFont="1" applyFill="1" applyBorder="1" applyAlignment="1">
      <alignment vertical="center"/>
    </xf>
    <xf numFmtId="44" fontId="11" fillId="2" borderId="0" xfId="2" applyFont="1" applyFill="1" applyBorder="1" applyAlignment="1">
      <alignment vertical="center"/>
    </xf>
    <xf numFmtId="0" fontId="14" fillId="2" borderId="31" xfId="0" applyFont="1" applyFill="1" applyBorder="1" applyAlignment="1">
      <alignment horizontal="right" vertical="center"/>
    </xf>
    <xf numFmtId="0" fontId="0" fillId="3" borderId="0" xfId="0" applyFill="1" applyAlignment="1">
      <alignment vertical="center"/>
    </xf>
    <xf numFmtId="0" fontId="125" fillId="2" borderId="0" xfId="0" applyFont="1" applyFill="1"/>
    <xf numFmtId="0" fontId="11" fillId="2" borderId="138" xfId="0" applyFont="1" applyFill="1" applyBorder="1" applyAlignment="1">
      <alignment vertical="center" wrapText="1"/>
    </xf>
    <xf numFmtId="0" fontId="50" fillId="2" borderId="26" xfId="0" applyFont="1" applyFill="1" applyBorder="1" applyAlignment="1">
      <alignment horizontal="left" vertical="center" wrapText="1"/>
    </xf>
    <xf numFmtId="0" fontId="5" fillId="2" borderId="67" xfId="0" applyFont="1" applyFill="1" applyBorder="1" applyAlignment="1">
      <alignment horizontal="center"/>
    </xf>
    <xf numFmtId="164" fontId="14" fillId="2" borderId="10" xfId="2" applyNumberFormat="1" applyFont="1" applyFill="1" applyBorder="1" applyAlignment="1">
      <alignment vertical="center"/>
    </xf>
    <xf numFmtId="164" fontId="14" fillId="6" borderId="10" xfId="2" applyNumberFormat="1" applyFont="1" applyFill="1" applyBorder="1" applyAlignment="1">
      <alignment vertical="center"/>
    </xf>
    <xf numFmtId="44" fontId="11" fillId="2" borderId="10" xfId="2" applyFont="1" applyFill="1" applyBorder="1" applyAlignment="1">
      <alignment vertical="center"/>
    </xf>
    <xf numFmtId="44" fontId="11" fillId="2" borderId="10" xfId="2" applyFont="1" applyFill="1" applyBorder="1"/>
    <xf numFmtId="0" fontId="15" fillId="3" borderId="106" xfId="0" applyFont="1" applyFill="1" applyBorder="1" applyAlignment="1">
      <alignment horizontal="right" vertical="top" wrapText="1"/>
    </xf>
    <xf numFmtId="0" fontId="0" fillId="2" borderId="106" xfId="0" applyFill="1" applyBorder="1"/>
    <xf numFmtId="0" fontId="15" fillId="2" borderId="53" xfId="0" applyFont="1" applyFill="1" applyBorder="1" applyAlignment="1">
      <alignment horizontal="right"/>
    </xf>
    <xf numFmtId="0" fontId="4" fillId="2" borderId="49" xfId="0" applyFont="1" applyFill="1" applyBorder="1" applyAlignment="1">
      <alignment horizontal="left"/>
    </xf>
    <xf numFmtId="0" fontId="4" fillId="2" borderId="49" xfId="0" applyFont="1" applyFill="1" applyBorder="1"/>
    <xf numFmtId="0" fontId="0" fillId="2" borderId="158" xfId="0" applyFill="1" applyBorder="1"/>
    <xf numFmtId="0" fontId="0" fillId="2" borderId="159" xfId="0" applyFill="1" applyBorder="1"/>
    <xf numFmtId="0" fontId="125" fillId="5" borderId="26" xfId="0" applyFont="1" applyFill="1" applyBorder="1" applyAlignment="1">
      <alignment vertical="center" wrapText="1"/>
    </xf>
    <xf numFmtId="9" fontId="32" fillId="2" borderId="39" xfId="3" applyFont="1" applyFill="1" applyBorder="1" applyAlignment="1">
      <alignment horizontal="right"/>
    </xf>
    <xf numFmtId="0" fontId="23" fillId="2" borderId="0" xfId="0" applyFont="1" applyFill="1" applyAlignment="1">
      <alignment vertical="center"/>
    </xf>
    <xf numFmtId="0" fontId="125" fillId="5" borderId="125" xfId="0" applyFont="1" applyFill="1" applyBorder="1" applyAlignment="1">
      <alignment vertical="center" wrapText="1"/>
    </xf>
    <xf numFmtId="0" fontId="2" fillId="2" borderId="35" xfId="0" applyFont="1" applyFill="1" applyBorder="1" applyAlignment="1">
      <alignment horizontal="center"/>
    </xf>
    <xf numFmtId="0" fontId="23" fillId="5" borderId="0" xfId="0" applyFont="1" applyFill="1" applyAlignment="1">
      <alignment vertical="center"/>
    </xf>
    <xf numFmtId="0" fontId="5" fillId="2" borderId="26" xfId="0" applyFont="1" applyFill="1" applyBorder="1" applyAlignment="1">
      <alignment wrapText="1"/>
    </xf>
    <xf numFmtId="0" fontId="15" fillId="2" borderId="53" xfId="0" applyFont="1" applyFill="1" applyBorder="1" applyAlignment="1">
      <alignment horizontal="right" wrapText="1"/>
    </xf>
    <xf numFmtId="0" fontId="1" fillId="2" borderId="0" xfId="1" applyFill="1" applyBorder="1" applyAlignment="1">
      <alignment horizontal="left"/>
    </xf>
    <xf numFmtId="0" fontId="0" fillId="2" borderId="0" xfId="0" applyFill="1" applyAlignment="1">
      <alignment horizontal="left"/>
    </xf>
    <xf numFmtId="0" fontId="22" fillId="2" borderId="24" xfId="0" applyFont="1" applyFill="1" applyBorder="1"/>
    <xf numFmtId="0" fontId="0" fillId="2" borderId="25" xfId="0" applyFill="1" applyBorder="1" applyAlignment="1">
      <alignment horizontal="left"/>
    </xf>
    <xf numFmtId="0" fontId="1" fillId="2" borderId="35" xfId="1" applyFill="1" applyBorder="1" applyAlignment="1">
      <alignment horizontal="left"/>
    </xf>
    <xf numFmtId="0" fontId="0" fillId="2" borderId="32" xfId="0" applyFill="1" applyBorder="1" applyAlignment="1">
      <alignment horizontal="left"/>
    </xf>
    <xf numFmtId="0" fontId="0" fillId="2" borderId="26" xfId="0" applyFill="1" applyBorder="1" applyAlignment="1">
      <alignment horizontal="left"/>
    </xf>
    <xf numFmtId="0" fontId="22" fillId="2" borderId="44" xfId="0" applyFont="1" applyFill="1" applyBorder="1"/>
    <xf numFmtId="0" fontId="22" fillId="2" borderId="147" xfId="0" applyFont="1" applyFill="1" applyBorder="1" applyAlignment="1">
      <alignment horizontal="left"/>
    </xf>
    <xf numFmtId="0" fontId="22" fillId="2" borderId="127" xfId="0" applyFont="1" applyFill="1" applyBorder="1" applyAlignment="1">
      <alignment horizontal="left"/>
    </xf>
    <xf numFmtId="0" fontId="22" fillId="2" borderId="70" xfId="0" applyFont="1" applyFill="1" applyBorder="1" applyAlignment="1">
      <alignment horizontal="left"/>
    </xf>
    <xf numFmtId="0" fontId="29" fillId="2" borderId="1" xfId="0" applyFont="1" applyFill="1" applyBorder="1" applyAlignment="1">
      <alignment horizontal="left" vertical="center" wrapText="1"/>
    </xf>
    <xf numFmtId="0" fontId="29" fillId="2" borderId="1" xfId="0" applyFont="1" applyFill="1" applyBorder="1" applyAlignment="1">
      <alignment horizontal="center" vertical="center"/>
    </xf>
    <xf numFmtId="0" fontId="41" fillId="2" borderId="1" xfId="0" applyFont="1" applyFill="1" applyBorder="1" applyAlignment="1">
      <alignment vertical="top"/>
    </xf>
    <xf numFmtId="0" fontId="29" fillId="2" borderId="1" xfId="0" applyFont="1" applyFill="1" applyBorder="1" applyAlignment="1">
      <alignment horizontal="center" vertical="center" wrapText="1"/>
    </xf>
    <xf numFmtId="0" fontId="29" fillId="2" borderId="17" xfId="0" applyFont="1" applyFill="1" applyBorder="1" applyAlignment="1">
      <alignment horizontal="left" vertical="center" wrapText="1"/>
    </xf>
    <xf numFmtId="0" fontId="29" fillId="2" borderId="0" xfId="0" applyFont="1" applyFill="1" applyAlignment="1">
      <alignment horizontal="center" vertical="center" wrapText="1"/>
    </xf>
    <xf numFmtId="0" fontId="29" fillId="2" borderId="0" xfId="0" applyFont="1" applyFill="1" applyAlignment="1">
      <alignment horizontal="center" vertical="center"/>
    </xf>
    <xf numFmtId="0" fontId="41" fillId="2" borderId="0" xfId="0" applyFont="1" applyFill="1" applyAlignment="1">
      <alignment vertical="top"/>
    </xf>
    <xf numFmtId="0" fontId="29" fillId="2" borderId="0" xfId="0" applyFont="1" applyFill="1"/>
    <xf numFmtId="0" fontId="29" fillId="2" borderId="55" xfId="0" applyFont="1" applyFill="1" applyBorder="1" applyAlignment="1">
      <alignment horizontal="left" vertical="center" wrapText="1"/>
    </xf>
    <xf numFmtId="0" fontId="29" fillId="2" borderId="55" xfId="0" applyFont="1" applyFill="1" applyBorder="1" applyAlignment="1">
      <alignment horizontal="center" vertical="center" wrapText="1"/>
    </xf>
    <xf numFmtId="0" fontId="29" fillId="2" borderId="55" xfId="0" applyFont="1" applyFill="1" applyBorder="1" applyAlignment="1">
      <alignment horizontal="center" vertical="center"/>
    </xf>
    <xf numFmtId="0" fontId="128" fillId="2" borderId="0" xfId="0" applyFont="1" applyFill="1" applyAlignment="1">
      <alignment vertical="center" wrapText="1"/>
    </xf>
    <xf numFmtId="0" fontId="128" fillId="2" borderId="0" xfId="0" applyFont="1" applyFill="1" applyAlignment="1">
      <alignment horizontal="center" vertical="center" wrapText="1"/>
    </xf>
    <xf numFmtId="0" fontId="29" fillId="2" borderId="0" xfId="0" applyFont="1" applyFill="1" applyAlignment="1">
      <alignment wrapText="1"/>
    </xf>
    <xf numFmtId="0" fontId="126" fillId="2" borderId="0" xfId="0" applyFont="1" applyFill="1" applyAlignment="1">
      <alignment vertical="center"/>
    </xf>
    <xf numFmtId="0" fontId="29" fillId="2" borderId="4" xfId="0" applyFont="1" applyFill="1" applyBorder="1" applyAlignment="1">
      <alignment vertical="center" wrapText="1"/>
    </xf>
    <xf numFmtId="0" fontId="29" fillId="2" borderId="4" xfId="0" applyFont="1" applyFill="1" applyBorder="1" applyAlignment="1">
      <alignment horizontal="center" vertical="center" wrapText="1"/>
    </xf>
    <xf numFmtId="0" fontId="29" fillId="2" borderId="4" xfId="0" applyFont="1" applyFill="1" applyBorder="1" applyAlignment="1">
      <alignment horizontal="center" vertical="center"/>
    </xf>
    <xf numFmtId="0" fontId="41" fillId="2" borderId="18" xfId="0" applyFont="1" applyFill="1" applyBorder="1" applyAlignment="1">
      <alignment vertical="top"/>
    </xf>
    <xf numFmtId="165" fontId="2" fillId="5" borderId="0" xfId="2" applyNumberFormat="1" applyFont="1" applyFill="1" applyBorder="1" applyAlignment="1">
      <alignment horizontal="center"/>
    </xf>
    <xf numFmtId="0" fontId="11" fillId="2" borderId="138" xfId="0" applyFont="1" applyFill="1" applyBorder="1" applyAlignment="1">
      <alignment horizontal="center" wrapText="1"/>
    </xf>
    <xf numFmtId="0" fontId="15" fillId="2" borderId="138" xfId="0" applyFont="1" applyFill="1" applyBorder="1" applyAlignment="1">
      <alignment wrapText="1"/>
    </xf>
    <xf numFmtId="0" fontId="19" fillId="2" borderId="138" xfId="0" applyFont="1" applyFill="1" applyBorder="1" applyAlignment="1">
      <alignment horizontal="right"/>
    </xf>
    <xf numFmtId="165" fontId="2" fillId="5" borderId="138" xfId="2" applyNumberFormat="1" applyFont="1" applyFill="1" applyBorder="1" applyAlignment="1">
      <alignment horizontal="center"/>
    </xf>
    <xf numFmtId="0" fontId="2" fillId="5" borderId="0" xfId="0" applyFont="1" applyFill="1" applyAlignment="1">
      <alignment horizontal="right"/>
    </xf>
    <xf numFmtId="0" fontId="2" fillId="5" borderId="0" xfId="0" applyFont="1" applyFill="1" applyAlignment="1">
      <alignment horizontal="right" vertical="center"/>
    </xf>
    <xf numFmtId="9" fontId="2" fillId="5" borderId="0" xfId="2" applyNumberFormat="1" applyFont="1" applyFill="1" applyBorder="1" applyAlignment="1">
      <alignment horizontal="right"/>
    </xf>
    <xf numFmtId="44" fontId="14" fillId="2" borderId="6" xfId="2" applyFont="1" applyFill="1" applyBorder="1" applyAlignment="1">
      <alignment vertical="center"/>
    </xf>
    <xf numFmtId="0" fontId="5" fillId="2" borderId="62" xfId="0" applyFont="1" applyFill="1" applyBorder="1" applyAlignment="1">
      <alignment horizontal="left" vertical="center" indent="3"/>
    </xf>
    <xf numFmtId="0" fontId="5" fillId="2" borderId="91" xfId="0" applyFont="1" applyFill="1" applyBorder="1" applyAlignment="1">
      <alignment horizontal="left" vertical="center" indent="3"/>
    </xf>
    <xf numFmtId="0" fontId="5" fillId="2" borderId="155" xfId="0" applyFont="1" applyFill="1" applyBorder="1" applyAlignment="1">
      <alignment horizontal="left" vertical="center" indent="3"/>
    </xf>
    <xf numFmtId="0" fontId="4" fillId="2" borderId="50" xfId="0" applyFont="1" applyFill="1" applyBorder="1" applyAlignment="1">
      <alignment horizontal="left" vertical="center" indent="3"/>
    </xf>
    <xf numFmtId="0" fontId="4" fillId="2" borderId="35" xfId="0" applyFont="1" applyFill="1" applyBorder="1" applyAlignment="1">
      <alignment horizontal="left" vertical="center" indent="3"/>
    </xf>
    <xf numFmtId="0" fontId="4" fillId="2" borderId="50" xfId="0" applyFont="1" applyFill="1" applyBorder="1" applyAlignment="1">
      <alignment horizontal="left" vertical="center"/>
    </xf>
    <xf numFmtId="0" fontId="19" fillId="2" borderId="41" xfId="0" applyFont="1" applyFill="1" applyBorder="1" applyAlignment="1">
      <alignment horizontal="center" vertical="center"/>
    </xf>
    <xf numFmtId="0" fontId="19" fillId="2" borderId="50" xfId="0" applyFont="1" applyFill="1" applyBorder="1" applyAlignment="1">
      <alignment horizontal="center" vertical="center"/>
    </xf>
    <xf numFmtId="0" fontId="19" fillId="2" borderId="42" xfId="0" applyFont="1" applyFill="1" applyBorder="1" applyAlignment="1">
      <alignment horizontal="center" vertical="center"/>
    </xf>
    <xf numFmtId="0" fontId="4" fillId="2" borderId="35" xfId="0" applyFont="1" applyFill="1" applyBorder="1" applyAlignment="1">
      <alignment horizontal="left" vertical="center" indent="2"/>
    </xf>
    <xf numFmtId="0" fontId="5" fillId="2" borderId="68" xfId="0" applyFont="1" applyFill="1" applyBorder="1" applyAlignment="1">
      <alignment horizontal="left" vertical="center" indent="3"/>
    </xf>
    <xf numFmtId="44" fontId="14" fillId="2" borderId="6" xfId="2" applyFont="1" applyFill="1" applyBorder="1" applyAlignment="1">
      <alignment horizontal="right"/>
    </xf>
    <xf numFmtId="0" fontId="15" fillId="2" borderId="23" xfId="0" applyFont="1" applyFill="1" applyBorder="1" applyAlignment="1">
      <alignment horizontal="right" wrapText="1"/>
    </xf>
    <xf numFmtId="0" fontId="15" fillId="2" borderId="162" xfId="0" applyFont="1" applyFill="1" applyBorder="1" applyAlignment="1">
      <alignment horizontal="right" wrapText="1"/>
    </xf>
    <xf numFmtId="0" fontId="14" fillId="2" borderId="23" xfId="0" applyFont="1" applyFill="1" applyBorder="1" applyAlignment="1">
      <alignment horizontal="right"/>
    </xf>
    <xf numFmtId="0" fontId="15" fillId="2" borderId="130" xfId="0" applyFont="1" applyFill="1" applyBorder="1" applyAlignment="1">
      <alignment horizontal="right" wrapText="1"/>
    </xf>
    <xf numFmtId="0" fontId="14" fillId="2" borderId="130" xfId="0" applyFont="1" applyFill="1" applyBorder="1"/>
    <xf numFmtId="44" fontId="14" fillId="2" borderId="164" xfId="2" applyFont="1" applyFill="1" applyBorder="1"/>
    <xf numFmtId="44" fontId="14" fillId="2" borderId="165" xfId="0" applyNumberFormat="1" applyFont="1" applyFill="1" applyBorder="1"/>
    <xf numFmtId="44" fontId="11" fillId="2" borderId="166" xfId="0" applyNumberFormat="1" applyFont="1" applyFill="1" applyBorder="1"/>
    <xf numFmtId="44" fontId="2" fillId="2" borderId="167" xfId="0" applyNumberFormat="1" applyFont="1" applyFill="1" applyBorder="1"/>
    <xf numFmtId="44" fontId="2" fillId="2" borderId="165" xfId="0" applyNumberFormat="1" applyFont="1" applyFill="1" applyBorder="1"/>
    <xf numFmtId="44" fontId="14" fillId="2" borderId="168" xfId="0" applyNumberFormat="1" applyFont="1" applyFill="1" applyBorder="1"/>
    <xf numFmtId="44" fontId="87" fillId="2" borderId="23" xfId="2" applyFont="1" applyFill="1" applyBorder="1" applyAlignment="1">
      <alignment wrapText="1"/>
    </xf>
    <xf numFmtId="44" fontId="87" fillId="2" borderId="23" xfId="2" applyFont="1" applyFill="1" applyBorder="1"/>
    <xf numFmtId="0" fontId="24" fillId="2" borderId="23" xfId="0" applyFont="1" applyFill="1" applyBorder="1" applyAlignment="1">
      <alignment horizontal="left" vertical="top"/>
    </xf>
    <xf numFmtId="0" fontId="14" fillId="2" borderId="168" xfId="0" applyFont="1" applyFill="1" applyBorder="1"/>
    <xf numFmtId="0" fontId="15" fillId="2" borderId="23" xfId="0" applyFont="1" applyFill="1" applyBorder="1" applyAlignment="1">
      <alignment horizontal="left"/>
    </xf>
    <xf numFmtId="44" fontId="14" fillId="2" borderId="23" xfId="2" applyFont="1" applyFill="1" applyBorder="1"/>
    <xf numFmtId="0" fontId="24" fillId="2" borderId="131" xfId="0" applyFont="1" applyFill="1" applyBorder="1" applyAlignment="1">
      <alignment horizontal="right"/>
    </xf>
    <xf numFmtId="165" fontId="14" fillId="2" borderId="23" xfId="2" applyNumberFormat="1" applyFont="1" applyFill="1" applyBorder="1"/>
    <xf numFmtId="0" fontId="24" fillId="2" borderId="130" xfId="0" applyFont="1" applyFill="1" applyBorder="1" applyAlignment="1">
      <alignment horizontal="right"/>
    </xf>
    <xf numFmtId="0" fontId="24" fillId="2" borderId="23" xfId="0" applyFont="1" applyFill="1" applyBorder="1" applyAlignment="1">
      <alignment horizontal="right"/>
    </xf>
    <xf numFmtId="164" fontId="14" fillId="2" borderId="165" xfId="0" applyNumberFormat="1" applyFont="1" applyFill="1" applyBorder="1"/>
    <xf numFmtId="0" fontId="15" fillId="2" borderId="164" xfId="0" applyFont="1" applyFill="1" applyBorder="1" applyAlignment="1">
      <alignment horizontal="right" wrapText="1"/>
    </xf>
    <xf numFmtId="0" fontId="14" fillId="2" borderId="130" xfId="0" applyFont="1" applyFill="1" applyBorder="1" applyAlignment="1">
      <alignment horizontal="right"/>
    </xf>
    <xf numFmtId="0" fontId="2" fillId="2" borderId="74" xfId="0" applyFont="1" applyFill="1" applyBorder="1" applyAlignment="1">
      <alignment horizontal="right" vertical="center"/>
    </xf>
    <xf numFmtId="0" fontId="2" fillId="2" borderId="122" xfId="0" applyFont="1" applyFill="1" applyBorder="1" applyAlignment="1">
      <alignment horizontal="right" vertical="center"/>
    </xf>
    <xf numFmtId="0" fontId="2" fillId="2" borderId="46" xfId="0" applyFont="1" applyFill="1" applyBorder="1" applyAlignment="1">
      <alignment horizontal="right" vertical="center"/>
    </xf>
    <xf numFmtId="0" fontId="15" fillId="2" borderId="30" xfId="0" applyFont="1" applyFill="1" applyBorder="1" applyAlignment="1">
      <alignment horizontal="right" vertical="center" wrapText="1"/>
    </xf>
    <xf numFmtId="0" fontId="1" fillId="2" borderId="35" xfId="1" applyFill="1" applyBorder="1" applyAlignment="1">
      <alignment vertical="center"/>
    </xf>
    <xf numFmtId="0" fontId="0" fillId="2" borderId="26" xfId="0" applyFill="1" applyBorder="1" applyAlignment="1">
      <alignment vertical="center"/>
    </xf>
    <xf numFmtId="0" fontId="2" fillId="5" borderId="36" xfId="0" applyFont="1" applyFill="1" applyBorder="1" applyAlignment="1">
      <alignment horizontal="center" vertical="center"/>
    </xf>
    <xf numFmtId="0" fontId="2" fillId="2" borderId="77" xfId="0" applyFont="1" applyFill="1" applyBorder="1" applyAlignment="1">
      <alignment horizontal="center" vertical="center"/>
    </xf>
    <xf numFmtId="0" fontId="0" fillId="2" borderId="35" xfId="0" applyFill="1" applyBorder="1" applyAlignment="1">
      <alignment vertical="center"/>
    </xf>
    <xf numFmtId="0" fontId="11" fillId="2" borderId="35" xfId="0" applyFont="1" applyFill="1" applyBorder="1" applyAlignment="1">
      <alignment horizontal="center" vertical="center" wrapText="1"/>
    </xf>
    <xf numFmtId="9" fontId="2" fillId="2" borderId="35" xfId="3" applyFont="1" applyFill="1" applyBorder="1" applyAlignment="1">
      <alignment horizontal="right" vertical="center"/>
    </xf>
    <xf numFmtId="9" fontId="2" fillId="2" borderId="0" xfId="3" applyFont="1" applyFill="1" applyBorder="1" applyAlignment="1">
      <alignment horizontal="right" vertical="center"/>
    </xf>
    <xf numFmtId="165" fontId="2" fillId="2" borderId="0" xfId="2" applyNumberFormat="1" applyFont="1" applyFill="1" applyBorder="1" applyAlignment="1">
      <alignment vertical="center"/>
    </xf>
    <xf numFmtId="0" fontId="5" fillId="2" borderId="104" xfId="0" applyFont="1" applyFill="1" applyBorder="1" applyAlignment="1">
      <alignment horizontal="left" vertical="center" indent="3"/>
    </xf>
    <xf numFmtId="0" fontId="73" fillId="2" borderId="0" xfId="0" applyFont="1" applyFill="1" applyAlignment="1">
      <alignment vertical="center"/>
    </xf>
    <xf numFmtId="0" fontId="73" fillId="0" borderId="0" xfId="0" applyFont="1" applyAlignment="1">
      <alignment vertical="center"/>
    </xf>
    <xf numFmtId="0" fontId="11" fillId="2" borderId="0" xfId="0" applyFont="1" applyFill="1" applyAlignment="1">
      <alignment horizontal="center" wrapText="1"/>
    </xf>
    <xf numFmtId="165" fontId="2" fillId="5" borderId="0" xfId="2" applyNumberFormat="1" applyFont="1" applyFill="1" applyBorder="1" applyAlignment="1">
      <alignment vertical="center"/>
    </xf>
    <xf numFmtId="9" fontId="2" fillId="5" borderId="0" xfId="2" applyNumberFormat="1" applyFont="1" applyFill="1" applyBorder="1" applyAlignment="1">
      <alignment horizontal="right" vertical="center"/>
    </xf>
    <xf numFmtId="9" fontId="2" fillId="5" borderId="0" xfId="3" applyFont="1" applyFill="1" applyBorder="1" applyAlignment="1">
      <alignment horizontal="right" vertical="center"/>
    </xf>
    <xf numFmtId="44" fontId="14" fillId="2" borderId="169" xfId="0" applyNumberFormat="1" applyFont="1" applyFill="1" applyBorder="1"/>
    <xf numFmtId="0" fontId="0" fillId="5" borderId="0" xfId="0" applyFill="1"/>
    <xf numFmtId="0" fontId="55" fillId="3" borderId="94" xfId="0" applyFont="1" applyFill="1" applyBorder="1" applyAlignment="1">
      <alignment horizontal="left" vertical="top" wrapText="1"/>
    </xf>
    <xf numFmtId="0" fontId="2" fillId="3" borderId="170" xfId="0" applyFont="1" applyFill="1" applyBorder="1" applyAlignment="1">
      <alignment vertical="top" wrapText="1"/>
    </xf>
    <xf numFmtId="0" fontId="55" fillId="3" borderId="171" xfId="0" applyFont="1" applyFill="1" applyBorder="1" applyAlignment="1">
      <alignment horizontal="left" vertical="top" wrapText="1"/>
    </xf>
    <xf numFmtId="0" fontId="54" fillId="2" borderId="26" xfId="0" applyFont="1" applyFill="1" applyBorder="1" applyAlignment="1">
      <alignment horizontal="center" vertical="center" wrapText="1"/>
    </xf>
    <xf numFmtId="0" fontId="15" fillId="0" borderId="31" xfId="0" applyFont="1" applyBorder="1" applyAlignment="1">
      <alignment horizontal="right"/>
    </xf>
    <xf numFmtId="0" fontId="0" fillId="2" borderId="43" xfId="0" applyFill="1" applyBorder="1" applyAlignment="1">
      <alignment vertical="center"/>
    </xf>
    <xf numFmtId="0" fontId="54" fillId="2" borderId="0" xfId="0" applyFont="1" applyFill="1" applyAlignment="1">
      <alignment vertical="center" wrapText="1"/>
    </xf>
    <xf numFmtId="0" fontId="2" fillId="2" borderId="76" xfId="0" applyFont="1" applyFill="1" applyBorder="1" applyAlignment="1">
      <alignment horizontal="center" vertical="center"/>
    </xf>
    <xf numFmtId="0" fontId="113" fillId="2" borderId="0" xfId="0" applyFont="1" applyFill="1" applyAlignment="1">
      <alignment vertical="center"/>
    </xf>
    <xf numFmtId="0" fontId="2" fillId="0" borderId="76" xfId="0" applyFont="1" applyBorder="1" applyAlignment="1">
      <alignment horizontal="center" vertical="center"/>
    </xf>
    <xf numFmtId="0" fontId="16" fillId="2" borderId="0" xfId="0" applyFont="1" applyFill="1" applyAlignment="1">
      <alignment horizontal="right" vertical="center" wrapText="1"/>
    </xf>
    <xf numFmtId="0" fontId="4" fillId="2" borderId="0" xfId="0" applyFont="1" applyFill="1" applyAlignment="1">
      <alignment horizontal="right" vertical="center"/>
    </xf>
    <xf numFmtId="0" fontId="4" fillId="2" borderId="0" xfId="0" applyFont="1" applyFill="1" applyAlignment="1">
      <alignment vertical="center"/>
    </xf>
    <xf numFmtId="0" fontId="11" fillId="2" borderId="0" xfId="0" applyFont="1" applyFill="1" applyAlignment="1">
      <alignment vertical="center" wrapText="1"/>
    </xf>
    <xf numFmtId="0" fontId="2" fillId="2" borderId="0" xfId="0" applyFont="1" applyFill="1" applyAlignment="1">
      <alignment vertical="center"/>
    </xf>
    <xf numFmtId="0" fontId="2" fillId="2" borderId="76" xfId="0" applyFont="1" applyFill="1" applyBorder="1" applyAlignment="1">
      <alignment horizontal="right" vertical="center"/>
    </xf>
    <xf numFmtId="0" fontId="2" fillId="2" borderId="76" xfId="0" applyFont="1" applyFill="1" applyBorder="1" applyAlignment="1">
      <alignment vertical="center"/>
    </xf>
    <xf numFmtId="9" fontId="2" fillId="2" borderId="0" xfId="2" applyNumberFormat="1" applyFont="1" applyFill="1" applyBorder="1" applyAlignment="1">
      <alignment vertical="center"/>
    </xf>
    <xf numFmtId="9" fontId="2" fillId="2" borderId="0" xfId="3" applyFont="1" applyFill="1" applyBorder="1" applyAlignment="1">
      <alignment vertical="center"/>
    </xf>
    <xf numFmtId="0" fontId="16" fillId="5" borderId="0" xfId="0" applyFont="1" applyFill="1" applyAlignment="1">
      <alignment horizontal="right" vertical="center"/>
    </xf>
    <xf numFmtId="9" fontId="2" fillId="5" borderId="35" xfId="3" applyFont="1" applyFill="1" applyBorder="1" applyAlignment="1">
      <alignment horizontal="right" vertical="center"/>
    </xf>
    <xf numFmtId="9" fontId="2" fillId="5" borderId="0" xfId="3" applyFont="1" applyFill="1" applyBorder="1" applyAlignment="1">
      <alignment vertical="center"/>
    </xf>
    <xf numFmtId="9" fontId="23" fillId="2" borderId="0" xfId="3" applyFont="1" applyFill="1" applyBorder="1" applyAlignment="1">
      <alignment vertical="center"/>
    </xf>
    <xf numFmtId="9" fontId="0" fillId="2" borderId="0" xfId="3" applyFont="1" applyFill="1" applyBorder="1" applyAlignment="1">
      <alignment vertical="center"/>
    </xf>
    <xf numFmtId="0" fontId="15" fillId="0" borderId="29" xfId="0" applyFont="1" applyBorder="1" applyAlignment="1">
      <alignment horizontal="right"/>
    </xf>
    <xf numFmtId="0" fontId="69" fillId="2" borderId="35" xfId="0" applyFont="1" applyFill="1" applyBorder="1" applyAlignment="1">
      <alignment horizontal="center"/>
    </xf>
    <xf numFmtId="44" fontId="29" fillId="2" borderId="0" xfId="0" applyNumberFormat="1" applyFont="1" applyFill="1"/>
    <xf numFmtId="0" fontId="100" fillId="2" borderId="26" xfId="0" applyFont="1" applyFill="1" applyBorder="1"/>
    <xf numFmtId="0" fontId="26" fillId="2" borderId="66" xfId="0" applyFont="1" applyFill="1" applyBorder="1"/>
    <xf numFmtId="44" fontId="68" fillId="2" borderId="10" xfId="2" applyFont="1" applyFill="1" applyBorder="1"/>
    <xf numFmtId="0" fontId="29" fillId="2" borderId="38" xfId="0" applyFont="1" applyFill="1" applyBorder="1" applyAlignment="1">
      <alignment horizontal="left" indent="3"/>
    </xf>
    <xf numFmtId="0" fontId="26" fillId="2" borderId="73" xfId="0" applyFont="1" applyFill="1" applyBorder="1"/>
    <xf numFmtId="0" fontId="137" fillId="2" borderId="0" xfId="0" applyFont="1" applyFill="1" applyAlignment="1">
      <alignment horizontal="right" wrapText="1"/>
    </xf>
    <xf numFmtId="0" fontId="137" fillId="2" borderId="26" xfId="0" applyFont="1" applyFill="1" applyBorder="1" applyAlignment="1">
      <alignment horizontal="center"/>
    </xf>
    <xf numFmtId="0" fontId="88" fillId="2" borderId="0" xfId="0" applyFont="1" applyFill="1" applyAlignment="1">
      <alignment horizontal="right" vertical="center"/>
    </xf>
    <xf numFmtId="0" fontId="0" fillId="2" borderId="108" xfId="0" applyFill="1" applyBorder="1" applyAlignment="1">
      <alignment horizontal="right" vertical="center"/>
    </xf>
    <xf numFmtId="0" fontId="2" fillId="5" borderId="38" xfId="0" applyFont="1" applyFill="1" applyBorder="1" applyAlignment="1">
      <alignment horizontal="center" vertical="center"/>
    </xf>
    <xf numFmtId="0" fontId="54" fillId="0" borderId="0" xfId="0" applyFont="1" applyAlignment="1">
      <alignment vertical="center" wrapText="1"/>
    </xf>
    <xf numFmtId="0" fontId="88" fillId="2" borderId="0" xfId="0" applyFont="1" applyFill="1" applyAlignment="1">
      <alignment horizontal="left" vertical="center"/>
    </xf>
    <xf numFmtId="0" fontId="0" fillId="2" borderId="108" xfId="0" applyFill="1" applyBorder="1" applyAlignment="1">
      <alignment horizontal="left" vertical="center"/>
    </xf>
    <xf numFmtId="0" fontId="0" fillId="5" borderId="0" xfId="0" applyFill="1" applyAlignment="1">
      <alignment vertical="center"/>
    </xf>
    <xf numFmtId="0" fontId="0" fillId="5" borderId="0" xfId="0" applyFill="1" applyAlignment="1">
      <alignment vertical="center" wrapText="1"/>
    </xf>
    <xf numFmtId="9" fontId="2" fillId="5" borderId="108" xfId="3" applyFont="1" applyFill="1" applyBorder="1" applyAlignment="1">
      <alignment horizontal="left" vertical="center"/>
    </xf>
    <xf numFmtId="9" fontId="2" fillId="5" borderId="108" xfId="3" applyFont="1" applyFill="1" applyBorder="1" applyAlignment="1">
      <alignment vertical="center"/>
    </xf>
    <xf numFmtId="0" fontId="2" fillId="2" borderId="102" xfId="0" applyFont="1" applyFill="1" applyBorder="1" applyAlignment="1">
      <alignment vertical="center"/>
    </xf>
    <xf numFmtId="0" fontId="19" fillId="2" borderId="178" xfId="0" applyFont="1" applyFill="1" applyBorder="1" applyAlignment="1">
      <alignment horizontal="center"/>
    </xf>
    <xf numFmtId="44" fontId="2" fillId="2" borderId="136" xfId="2" applyFont="1" applyFill="1" applyBorder="1"/>
    <xf numFmtId="0" fontId="15" fillId="2" borderId="179" xfId="0" applyFont="1" applyFill="1" applyBorder="1" applyAlignment="1">
      <alignment horizontal="right"/>
    </xf>
    <xf numFmtId="0" fontId="4" fillId="2" borderId="43" xfId="0" applyFont="1" applyFill="1" applyBorder="1"/>
    <xf numFmtId="0" fontId="45" fillId="2" borderId="0" xfId="0" applyFont="1" applyFill="1" applyAlignment="1">
      <alignment horizontal="left" vertical="center"/>
    </xf>
    <xf numFmtId="1" fontId="2" fillId="0" borderId="7" xfId="0" applyNumberFormat="1" applyFont="1" applyBorder="1" applyAlignment="1">
      <alignment horizontal="center" vertical="center"/>
    </xf>
    <xf numFmtId="0" fontId="11" fillId="2" borderId="26" xfId="0" applyFont="1" applyFill="1" applyBorder="1" applyAlignment="1">
      <alignment horizontal="center" vertical="center" wrapText="1"/>
    </xf>
    <xf numFmtId="0" fontId="16" fillId="0" borderId="0" xfId="0" applyFont="1" applyAlignment="1">
      <alignment horizontal="right" vertical="center"/>
    </xf>
    <xf numFmtId="0" fontId="0" fillId="2" borderId="125" xfId="0" applyFill="1" applyBorder="1" applyAlignment="1">
      <alignment vertical="center"/>
    </xf>
    <xf numFmtId="9" fontId="2" fillId="0" borderId="0" xfId="3" applyFont="1" applyFill="1" applyBorder="1" applyAlignment="1">
      <alignment horizontal="right" vertical="center"/>
    </xf>
    <xf numFmtId="0" fontId="0" fillId="0" borderId="0" xfId="0" applyAlignment="1">
      <alignment vertical="center"/>
    </xf>
    <xf numFmtId="0" fontId="5" fillId="2" borderId="26" xfId="0" applyFont="1" applyFill="1" applyBorder="1" applyAlignment="1">
      <alignment horizontal="center" vertical="center"/>
    </xf>
    <xf numFmtId="0" fontId="15" fillId="2" borderId="29" xfId="0" applyFont="1" applyFill="1" applyBorder="1" applyAlignment="1">
      <alignment horizontal="right" vertical="center" wrapText="1"/>
    </xf>
    <xf numFmtId="0" fontId="5" fillId="2" borderId="49" xfId="0" applyFont="1" applyFill="1" applyBorder="1" applyAlignment="1">
      <alignment horizontal="left" vertical="center" wrapText="1"/>
    </xf>
    <xf numFmtId="0" fontId="23" fillId="2" borderId="0" xfId="0" applyFont="1" applyFill="1" applyAlignment="1">
      <alignment vertical="center" wrapText="1"/>
    </xf>
    <xf numFmtId="0" fontId="5" fillId="0" borderId="38" xfId="0" applyFont="1" applyBorder="1" applyAlignment="1">
      <alignment horizontal="left" vertical="center"/>
    </xf>
    <xf numFmtId="0" fontId="0" fillId="3" borderId="35" xfId="0" applyFill="1" applyBorder="1" applyAlignment="1">
      <alignment horizontal="left" vertical="center"/>
    </xf>
    <xf numFmtId="0" fontId="0" fillId="3" borderId="26" xfId="0" applyFill="1" applyBorder="1" applyAlignment="1">
      <alignment vertical="center"/>
    </xf>
    <xf numFmtId="6" fontId="15" fillId="2" borderId="31" xfId="0" applyNumberFormat="1" applyFont="1" applyFill="1" applyBorder="1" applyAlignment="1">
      <alignment horizontal="right" vertical="center" wrapText="1"/>
    </xf>
    <xf numFmtId="0" fontId="122" fillId="2" borderId="0" xfId="0" applyFont="1" applyFill="1" applyAlignment="1">
      <alignment vertical="center"/>
    </xf>
    <xf numFmtId="16" fontId="0" fillId="2" borderId="0" xfId="0" applyNumberFormat="1" applyFill="1" applyAlignment="1">
      <alignment vertical="center"/>
    </xf>
    <xf numFmtId="0" fontId="123" fillId="2" borderId="0" xfId="0" applyFont="1" applyFill="1" applyAlignment="1">
      <alignment vertical="center"/>
    </xf>
    <xf numFmtId="0" fontId="15" fillId="2" borderId="26" xfId="0" applyFont="1" applyFill="1" applyBorder="1" applyAlignment="1">
      <alignment vertical="center" wrapText="1"/>
    </xf>
    <xf numFmtId="165" fontId="2" fillId="2" borderId="26" xfId="2" applyNumberFormat="1" applyFont="1" applyFill="1" applyBorder="1" applyAlignment="1">
      <alignment vertical="center"/>
    </xf>
    <xf numFmtId="9" fontId="2" fillId="2" borderId="26" xfId="2" applyNumberFormat="1" applyFont="1" applyFill="1" applyBorder="1" applyAlignment="1">
      <alignment vertical="center"/>
    </xf>
    <xf numFmtId="9" fontId="2" fillId="2" borderId="26" xfId="3" applyFont="1" applyFill="1" applyBorder="1" applyAlignment="1">
      <alignment vertical="center"/>
    </xf>
    <xf numFmtId="9" fontId="2" fillId="5" borderId="26" xfId="3" applyFont="1" applyFill="1" applyBorder="1" applyAlignment="1">
      <alignment vertical="center"/>
    </xf>
    <xf numFmtId="9" fontId="0" fillId="2" borderId="26" xfId="3" applyFont="1" applyFill="1" applyBorder="1" applyAlignment="1">
      <alignment vertical="center"/>
    </xf>
    <xf numFmtId="0" fontId="45" fillId="2" borderId="35" xfId="0" applyFont="1" applyFill="1" applyBorder="1" applyAlignment="1">
      <alignment vertical="center"/>
    </xf>
    <xf numFmtId="0" fontId="130" fillId="2" borderId="0" xfId="0" applyFont="1" applyFill="1" applyAlignment="1">
      <alignment vertical="center"/>
    </xf>
    <xf numFmtId="0" fontId="0" fillId="2" borderId="26" xfId="0" applyFill="1" applyBorder="1" applyAlignment="1">
      <alignment vertical="center" wrapText="1"/>
    </xf>
    <xf numFmtId="0" fontId="5" fillId="2" borderId="27" xfId="0" applyFont="1" applyFill="1" applyBorder="1" applyAlignment="1">
      <alignment horizontal="center" vertical="center"/>
    </xf>
    <xf numFmtId="0" fontId="2" fillId="0" borderId="77" xfId="0" applyFont="1" applyBorder="1" applyAlignment="1">
      <alignment horizontal="center" vertical="center"/>
    </xf>
    <xf numFmtId="0" fontId="5" fillId="2" borderId="45" xfId="0" applyFont="1" applyFill="1" applyBorder="1" applyAlignment="1">
      <alignment horizontal="center" vertical="center"/>
    </xf>
    <xf numFmtId="0" fontId="2" fillId="2" borderId="35" xfId="0" applyFont="1" applyFill="1" applyBorder="1" applyAlignment="1">
      <alignment vertical="center"/>
    </xf>
    <xf numFmtId="0" fontId="2" fillId="0" borderId="47" xfId="0" applyFont="1" applyBorder="1" applyAlignment="1">
      <alignment horizontal="right" vertical="center"/>
    </xf>
    <xf numFmtId="9" fontId="0" fillId="2" borderId="35" xfId="3" applyFont="1" applyFill="1" applyBorder="1" applyAlignment="1">
      <alignment horizontal="right" vertical="center"/>
    </xf>
    <xf numFmtId="9" fontId="0" fillId="2" borderId="0" xfId="3" applyFont="1" applyFill="1" applyBorder="1" applyAlignment="1">
      <alignment horizontal="right" vertical="center"/>
    </xf>
    <xf numFmtId="165" fontId="0" fillId="2" borderId="26" xfId="2" applyNumberFormat="1" applyFont="1" applyFill="1" applyBorder="1" applyAlignment="1">
      <alignment horizontal="center" vertical="center"/>
    </xf>
    <xf numFmtId="0" fontId="2" fillId="2" borderId="36" xfId="0" applyFont="1" applyFill="1" applyBorder="1" applyAlignment="1">
      <alignment horizontal="center" vertical="center"/>
    </xf>
    <xf numFmtId="0" fontId="2" fillId="2" borderId="35" xfId="0" applyFont="1" applyFill="1" applyBorder="1" applyAlignment="1">
      <alignment horizontal="center" vertical="center"/>
    </xf>
    <xf numFmtId="0" fontId="0" fillId="3" borderId="43" xfId="0" applyFill="1" applyBorder="1" applyAlignment="1">
      <alignment vertical="center"/>
    </xf>
    <xf numFmtId="0" fontId="68" fillId="2" borderId="10" xfId="0" applyFont="1" applyFill="1" applyBorder="1"/>
    <xf numFmtId="0" fontId="54" fillId="2" borderId="121" xfId="0" applyFont="1" applyFill="1" applyBorder="1" applyAlignment="1">
      <alignment horizontal="center" vertical="center" wrapText="1"/>
    </xf>
    <xf numFmtId="0" fontId="29" fillId="2" borderId="59" xfId="0" applyFont="1" applyFill="1" applyBorder="1" applyAlignment="1">
      <alignment vertical="center" wrapText="1"/>
    </xf>
    <xf numFmtId="0" fontId="92" fillId="2" borderId="0" xfId="0" applyFont="1" applyFill="1" applyAlignment="1">
      <alignment horizontal="center" vertical="center"/>
    </xf>
    <xf numFmtId="0" fontId="120" fillId="2" borderId="0" xfId="0" applyFont="1" applyFill="1" applyAlignment="1">
      <alignment horizontal="center" vertical="center"/>
    </xf>
    <xf numFmtId="0" fontId="5" fillId="2" borderId="121" xfId="0" applyFont="1" applyFill="1" applyBorder="1" applyAlignment="1">
      <alignment horizontal="center" vertical="center"/>
    </xf>
    <xf numFmtId="1" fontId="2" fillId="0" borderId="36" xfId="0" applyNumberFormat="1" applyFont="1" applyBorder="1" applyAlignment="1">
      <alignment horizontal="center" vertical="center"/>
    </xf>
    <xf numFmtId="0" fontId="0" fillId="2" borderId="121" xfId="0" applyFill="1" applyBorder="1" applyAlignment="1">
      <alignment vertical="center"/>
    </xf>
    <xf numFmtId="0" fontId="5" fillId="2" borderId="108" xfId="0" applyFont="1" applyFill="1" applyBorder="1" applyAlignment="1">
      <alignment horizontal="center" vertical="center"/>
    </xf>
    <xf numFmtId="165" fontId="2" fillId="2" borderId="0" xfId="2" applyNumberFormat="1" applyFont="1" applyFill="1" applyBorder="1" applyAlignment="1">
      <alignment horizontal="center" vertical="center"/>
    </xf>
    <xf numFmtId="0" fontId="9" fillId="2" borderId="0" xfId="0" applyFont="1" applyFill="1" applyAlignment="1">
      <alignment horizontal="right" vertical="center"/>
    </xf>
    <xf numFmtId="9" fontId="0" fillId="2" borderId="35" xfId="3" applyFont="1" applyFill="1" applyBorder="1" applyAlignment="1">
      <alignment vertical="center"/>
    </xf>
    <xf numFmtId="1" fontId="2" fillId="2" borderId="36" xfId="0" applyNumberFormat="1" applyFont="1" applyFill="1" applyBorder="1" applyAlignment="1">
      <alignment horizontal="center" vertical="center"/>
    </xf>
    <xf numFmtId="0" fontId="2" fillId="2" borderId="79" xfId="0" applyFont="1" applyFill="1" applyBorder="1" applyAlignment="1">
      <alignment horizontal="center" vertical="center"/>
    </xf>
    <xf numFmtId="1" fontId="2" fillId="2" borderId="7" xfId="0" applyNumberFormat="1" applyFont="1" applyFill="1" applyBorder="1" applyAlignment="1">
      <alignment horizontal="center" vertical="center"/>
    </xf>
    <xf numFmtId="0" fontId="0" fillId="2" borderId="39" xfId="0" applyFill="1" applyBorder="1" applyAlignment="1">
      <alignment vertical="center"/>
    </xf>
    <xf numFmtId="0" fontId="11" fillId="2" borderId="102" xfId="0" applyFont="1" applyFill="1" applyBorder="1" applyAlignment="1">
      <alignment horizontal="center" vertical="center" wrapText="1"/>
    </xf>
    <xf numFmtId="0" fontId="11" fillId="2" borderId="103" xfId="0" applyFont="1" applyFill="1" applyBorder="1" applyAlignment="1">
      <alignment horizontal="center" vertical="center" wrapText="1"/>
    </xf>
    <xf numFmtId="1" fontId="2" fillId="0" borderId="46" xfId="0" applyNumberFormat="1" applyFont="1" applyBorder="1" applyAlignment="1">
      <alignment horizontal="right" vertical="center"/>
    </xf>
    <xf numFmtId="1" fontId="2" fillId="2" borderId="8" xfId="0" applyNumberFormat="1" applyFont="1" applyFill="1" applyBorder="1" applyAlignment="1">
      <alignment horizontal="right" vertical="center"/>
    </xf>
    <xf numFmtId="1" fontId="19" fillId="2" borderId="47" xfId="0" applyNumberFormat="1" applyFont="1" applyFill="1" applyBorder="1" applyAlignment="1">
      <alignment horizontal="right" vertical="center"/>
    </xf>
    <xf numFmtId="0" fontId="0" fillId="2" borderId="88" xfId="0" applyFill="1" applyBorder="1" applyAlignment="1">
      <alignment vertical="center"/>
    </xf>
    <xf numFmtId="9" fontId="0" fillId="0" borderId="101" xfId="3" applyFont="1" applyFill="1" applyBorder="1" applyAlignment="1">
      <alignment horizontal="right" vertical="center"/>
    </xf>
    <xf numFmtId="165" fontId="0" fillId="2" borderId="0" xfId="2" applyNumberFormat="1" applyFont="1" applyFill="1" applyBorder="1" applyAlignment="1">
      <alignment horizontal="center" vertical="center"/>
    </xf>
    <xf numFmtId="0" fontId="5" fillId="2" borderId="0" xfId="0" applyFont="1" applyFill="1" applyAlignment="1">
      <alignment horizontal="center" vertical="center"/>
    </xf>
    <xf numFmtId="0" fontId="0" fillId="2" borderId="27" xfId="0" applyFill="1" applyBorder="1" applyAlignment="1">
      <alignment vertical="center"/>
    </xf>
    <xf numFmtId="1" fontId="2" fillId="2" borderId="60" xfId="0" applyNumberFormat="1" applyFont="1" applyFill="1" applyBorder="1" applyAlignment="1">
      <alignment horizontal="center" vertical="center"/>
    </xf>
    <xf numFmtId="0" fontId="2" fillId="2" borderId="23" xfId="0" applyFont="1" applyFill="1" applyBorder="1" applyAlignment="1">
      <alignment horizontal="center" vertical="center"/>
    </xf>
    <xf numFmtId="0" fontId="2" fillId="0" borderId="131" xfId="0" applyFont="1" applyBorder="1" applyAlignment="1">
      <alignment horizontal="center" vertical="center"/>
    </xf>
    <xf numFmtId="0" fontId="2" fillId="0" borderId="81" xfId="0" applyFont="1" applyBorder="1" applyAlignment="1">
      <alignment horizontal="center" vertical="center"/>
    </xf>
    <xf numFmtId="0" fontId="4" fillId="2" borderId="26" xfId="0" applyFont="1" applyFill="1" applyBorder="1" applyAlignment="1">
      <alignment vertical="center"/>
    </xf>
    <xf numFmtId="0" fontId="16" fillId="2" borderId="26" xfId="0" applyFont="1" applyFill="1" applyBorder="1" applyAlignment="1">
      <alignment horizontal="right" vertical="center" wrapText="1"/>
    </xf>
    <xf numFmtId="0" fontId="2" fillId="2" borderId="19" xfId="0" applyFont="1" applyFill="1" applyBorder="1" applyAlignment="1">
      <alignment horizontal="right" vertical="center"/>
    </xf>
    <xf numFmtId="9" fontId="2" fillId="2" borderId="26" xfId="3" applyFont="1" applyFill="1" applyBorder="1" applyAlignment="1">
      <alignment horizontal="right" vertical="center"/>
    </xf>
    <xf numFmtId="0" fontId="9" fillId="2" borderId="26" xfId="0" applyFont="1" applyFill="1" applyBorder="1" applyAlignment="1">
      <alignment horizontal="right" vertical="center"/>
    </xf>
    <xf numFmtId="0" fontId="14" fillId="3" borderId="0" xfId="0" applyFont="1" applyFill="1" applyAlignment="1">
      <alignment vertical="center"/>
    </xf>
    <xf numFmtId="0" fontId="12" fillId="3" borderId="0" xfId="0" applyFont="1" applyFill="1" applyAlignment="1">
      <alignment vertical="center"/>
    </xf>
    <xf numFmtId="0" fontId="12" fillId="3" borderId="26" xfId="0" applyFont="1" applyFill="1" applyBorder="1" applyAlignment="1">
      <alignment vertical="center"/>
    </xf>
    <xf numFmtId="0" fontId="109" fillId="2" borderId="0" xfId="0" applyFont="1" applyFill="1" applyAlignment="1">
      <alignment horizontal="right" vertical="center"/>
    </xf>
    <xf numFmtId="0" fontId="5" fillId="2" borderId="0" xfId="0" applyFont="1" applyFill="1" applyAlignment="1">
      <alignment vertical="center"/>
    </xf>
    <xf numFmtId="0" fontId="11" fillId="2" borderId="35" xfId="0" applyFont="1" applyFill="1" applyBorder="1" applyAlignment="1">
      <alignment horizontal="center" vertical="center"/>
    </xf>
    <xf numFmtId="0" fontId="11" fillId="2" borderId="0" xfId="0" applyFont="1" applyFill="1" applyAlignment="1">
      <alignment horizontal="center" vertical="center"/>
    </xf>
    <xf numFmtId="0" fontId="11" fillId="2" borderId="26" xfId="0" applyFont="1" applyFill="1" applyBorder="1" applyAlignment="1">
      <alignment horizontal="center" vertical="center"/>
    </xf>
    <xf numFmtId="0" fontId="19" fillId="2" borderId="26" xfId="0" applyFont="1" applyFill="1" applyBorder="1" applyAlignment="1">
      <alignment horizontal="right" vertical="center"/>
    </xf>
    <xf numFmtId="165" fontId="2" fillId="2" borderId="26" xfId="2" applyNumberFormat="1" applyFont="1" applyFill="1" applyBorder="1" applyAlignment="1">
      <alignment horizontal="center" vertical="center"/>
    </xf>
    <xf numFmtId="9" fontId="23" fillId="2" borderId="0" xfId="3" applyFont="1" applyFill="1" applyAlignment="1">
      <alignment vertical="center"/>
    </xf>
    <xf numFmtId="9" fontId="2" fillId="2" borderId="0" xfId="3" applyFont="1" applyFill="1" applyAlignment="1">
      <alignment vertical="center"/>
    </xf>
    <xf numFmtId="165" fontId="10" fillId="2" borderId="0" xfId="2" applyNumberFormat="1" applyFont="1" applyFill="1" applyBorder="1" applyAlignment="1">
      <alignment vertical="center"/>
    </xf>
    <xf numFmtId="165" fontId="23" fillId="2" borderId="0" xfId="2" applyNumberFormat="1" applyFont="1" applyFill="1" applyBorder="1" applyAlignment="1">
      <alignment vertical="center"/>
    </xf>
    <xf numFmtId="0" fontId="2" fillId="2" borderId="121" xfId="0" applyFont="1" applyFill="1" applyBorder="1" applyAlignment="1">
      <alignment vertical="center" wrapText="1"/>
    </xf>
    <xf numFmtId="0" fontId="0" fillId="2" borderId="138" xfId="0" applyFill="1" applyBorder="1" applyAlignment="1">
      <alignment vertical="center"/>
    </xf>
    <xf numFmtId="0" fontId="2" fillId="5" borderId="121" xfId="0" applyFont="1" applyFill="1" applyBorder="1" applyAlignment="1">
      <alignment vertical="center" wrapText="1"/>
    </xf>
    <xf numFmtId="165" fontId="2" fillId="2" borderId="121" xfId="2" applyNumberFormat="1" applyFont="1" applyFill="1" applyBorder="1" applyAlignment="1">
      <alignment vertical="center"/>
    </xf>
    <xf numFmtId="0" fontId="96" fillId="2" borderId="26" xfId="0" applyFont="1" applyFill="1" applyBorder="1" applyAlignment="1">
      <alignment horizontal="center" vertical="center"/>
    </xf>
    <xf numFmtId="0" fontId="54" fillId="2" borderId="108" xfId="0" applyFont="1" applyFill="1" applyBorder="1" applyAlignment="1">
      <alignment vertical="center" wrapText="1"/>
    </xf>
    <xf numFmtId="0" fontId="15" fillId="2" borderId="108" xfId="0" applyFont="1" applyFill="1" applyBorder="1" applyAlignment="1">
      <alignment horizontal="right" vertical="center" wrapText="1"/>
    </xf>
    <xf numFmtId="0" fontId="53" fillId="2" borderId="27" xfId="0" applyFont="1" applyFill="1" applyBorder="1" applyAlignment="1">
      <alignment horizontal="center" vertical="center"/>
    </xf>
    <xf numFmtId="0" fontId="0" fillId="2" borderId="108" xfId="0" applyFill="1" applyBorder="1" applyAlignment="1">
      <alignment vertical="center"/>
    </xf>
    <xf numFmtId="9" fontId="2" fillId="2" borderId="43" xfId="3" applyFont="1" applyFill="1" applyBorder="1" applyAlignment="1">
      <alignment horizontal="right" vertical="center"/>
    </xf>
    <xf numFmtId="0" fontId="54" fillId="2" borderId="108" xfId="0" applyFont="1" applyFill="1" applyBorder="1" applyAlignment="1">
      <alignment horizontal="center" vertical="center" wrapText="1"/>
    </xf>
    <xf numFmtId="0" fontId="2" fillId="0" borderId="89" xfId="0" applyFont="1" applyBorder="1" applyAlignment="1">
      <alignment horizontal="center" vertical="center"/>
    </xf>
    <xf numFmtId="0" fontId="2" fillId="2" borderId="89" xfId="0" applyFont="1" applyFill="1" applyBorder="1" applyAlignment="1">
      <alignment horizontal="center" vertical="center"/>
    </xf>
    <xf numFmtId="165" fontId="2" fillId="0" borderId="26" xfId="2" applyNumberFormat="1" applyFont="1" applyFill="1" applyBorder="1" applyAlignment="1">
      <alignment horizontal="center" vertical="center"/>
    </xf>
    <xf numFmtId="0" fontId="0" fillId="2" borderId="0" xfId="0" applyFill="1" applyAlignment="1">
      <alignment horizontal="right" vertical="center"/>
    </xf>
    <xf numFmtId="0" fontId="5" fillId="2" borderId="26" xfId="0" applyFont="1" applyFill="1" applyBorder="1" applyAlignment="1">
      <alignment horizontal="right" vertical="center"/>
    </xf>
    <xf numFmtId="0" fontId="5" fillId="0" borderId="39" xfId="0" applyFont="1" applyBorder="1" applyAlignment="1">
      <alignment horizontal="left" vertical="center" indent="3"/>
    </xf>
    <xf numFmtId="0" fontId="14" fillId="3" borderId="108" xfId="0" applyFont="1" applyFill="1" applyBorder="1" applyAlignment="1">
      <alignment vertical="center"/>
    </xf>
    <xf numFmtId="0" fontId="14" fillId="3" borderId="10" xfId="0" applyFont="1" applyFill="1" applyBorder="1" applyAlignment="1">
      <alignment vertical="center"/>
    </xf>
    <xf numFmtId="0" fontId="0" fillId="2" borderId="0" xfId="0" quotePrefix="1" applyFill="1" applyAlignment="1">
      <alignment vertical="center"/>
    </xf>
    <xf numFmtId="0" fontId="0" fillId="3" borderId="24" xfId="0" applyFill="1" applyBorder="1" applyAlignment="1">
      <alignment vertical="center"/>
    </xf>
    <xf numFmtId="0" fontId="0" fillId="3" borderId="163" xfId="0" applyFill="1" applyBorder="1" applyAlignment="1">
      <alignment vertical="center"/>
    </xf>
    <xf numFmtId="44" fontId="2" fillId="2" borderId="35" xfId="2" applyFont="1" applyFill="1" applyBorder="1" applyAlignment="1">
      <alignment horizontal="center" vertical="center"/>
    </xf>
    <xf numFmtId="0" fontId="19" fillId="2" borderId="50" xfId="0" applyFont="1" applyFill="1" applyBorder="1" applyAlignment="1">
      <alignment horizontal="left" indent="3"/>
    </xf>
    <xf numFmtId="0" fontId="19" fillId="2" borderId="50" xfId="0" applyFont="1" applyFill="1" applyBorder="1" applyAlignment="1">
      <alignment horizontal="left" indent="6"/>
    </xf>
    <xf numFmtId="0" fontId="19" fillId="2" borderId="41" xfId="0" applyFont="1" applyFill="1" applyBorder="1" applyAlignment="1">
      <alignment horizontal="left" indent="3"/>
    </xf>
    <xf numFmtId="0" fontId="26" fillId="3" borderId="35" xfId="0" applyFont="1" applyFill="1" applyBorder="1" applyAlignment="1">
      <alignment vertical="center"/>
    </xf>
    <xf numFmtId="0" fontId="68" fillId="3" borderId="0" xfId="0" applyFont="1" applyFill="1" applyAlignment="1">
      <alignment vertical="center"/>
    </xf>
    <xf numFmtId="0" fontId="26" fillId="2" borderId="0" xfId="0" quotePrefix="1" applyFont="1" applyFill="1" applyAlignment="1">
      <alignment vertical="center"/>
    </xf>
    <xf numFmtId="0" fontId="1" fillId="2" borderId="35" xfId="1" applyFill="1" applyBorder="1" applyAlignment="1">
      <alignment horizontal="left" vertical="center"/>
    </xf>
    <xf numFmtId="0" fontId="3" fillId="5" borderId="0" xfId="0" applyFont="1" applyFill="1" applyAlignment="1">
      <alignment vertical="top" wrapText="1"/>
    </xf>
    <xf numFmtId="0" fontId="30" fillId="2" borderId="0" xfId="0" applyFont="1" applyFill="1"/>
    <xf numFmtId="0" fontId="30" fillId="2" borderId="35" xfId="0" applyFont="1" applyFill="1" applyBorder="1"/>
    <xf numFmtId="0" fontId="30" fillId="2" borderId="26" xfId="0" applyFont="1" applyFill="1" applyBorder="1"/>
    <xf numFmtId="0" fontId="26" fillId="2" borderId="124" xfId="0" applyFont="1" applyFill="1" applyBorder="1"/>
    <xf numFmtId="0" fontId="26" fillId="2" borderId="14" xfId="0" applyFont="1" applyFill="1" applyBorder="1"/>
    <xf numFmtId="0" fontId="26" fillId="2" borderId="131" xfId="0" applyFont="1" applyFill="1" applyBorder="1"/>
    <xf numFmtId="0" fontId="30" fillId="2" borderId="108" xfId="0" applyFont="1" applyFill="1" applyBorder="1"/>
    <xf numFmtId="0" fontId="135" fillId="2" borderId="108" xfId="0" applyFont="1" applyFill="1" applyBorder="1"/>
    <xf numFmtId="0" fontId="135" fillId="2" borderId="130" xfId="0" applyFont="1" applyFill="1" applyBorder="1"/>
    <xf numFmtId="0" fontId="135" fillId="2" borderId="57" xfId="0" applyFont="1" applyFill="1" applyBorder="1" applyAlignment="1">
      <alignment vertical="top"/>
    </xf>
    <xf numFmtId="0" fontId="135" fillId="2" borderId="57" xfId="0" applyFont="1" applyFill="1" applyBorder="1"/>
    <xf numFmtId="0" fontId="134" fillId="0" borderId="57" xfId="0" applyFont="1" applyBorder="1"/>
    <xf numFmtId="0" fontId="135" fillId="2" borderId="134" xfId="0" applyFont="1" applyFill="1" applyBorder="1"/>
    <xf numFmtId="0" fontId="135" fillId="0" borderId="57" xfId="0" applyFont="1" applyBorder="1"/>
    <xf numFmtId="0" fontId="134" fillId="2" borderId="57" xfId="0" applyFont="1" applyFill="1" applyBorder="1"/>
    <xf numFmtId="0" fontId="135" fillId="0" borderId="108" xfId="0" applyFont="1" applyBorder="1"/>
    <xf numFmtId="0" fontId="135" fillId="0" borderId="134" xfId="0" applyFont="1" applyBorder="1"/>
    <xf numFmtId="0" fontId="30" fillId="2" borderId="57" xfId="0" applyFont="1" applyFill="1" applyBorder="1"/>
    <xf numFmtId="0" fontId="133" fillId="3" borderId="186" xfId="0" applyFont="1" applyFill="1" applyBorder="1"/>
    <xf numFmtId="0" fontId="132" fillId="3" borderId="187" xfId="0" applyFont="1" applyFill="1" applyBorder="1"/>
    <xf numFmtId="0" fontId="26" fillId="2" borderId="188" xfId="0" applyFont="1" applyFill="1" applyBorder="1"/>
    <xf numFmtId="0" fontId="133" fillId="3" borderId="190" xfId="0" applyFont="1" applyFill="1" applyBorder="1"/>
    <xf numFmtId="0" fontId="27" fillId="2" borderId="189" xfId="0" applyFont="1" applyFill="1" applyBorder="1"/>
    <xf numFmtId="0" fontId="30" fillId="2" borderId="191" xfId="0" applyFont="1" applyFill="1" applyBorder="1"/>
    <xf numFmtId="0" fontId="136" fillId="2" borderId="57" xfId="0" applyFont="1" applyFill="1" applyBorder="1"/>
    <xf numFmtId="0" fontId="2" fillId="2" borderId="74" xfId="0" applyFont="1" applyFill="1" applyBorder="1" applyAlignment="1">
      <alignment horizontal="right"/>
    </xf>
    <xf numFmtId="9" fontId="79" fillId="2" borderId="192" xfId="3" applyFont="1" applyFill="1" applyBorder="1" applyAlignment="1">
      <alignment horizontal="left"/>
    </xf>
    <xf numFmtId="9" fontId="2" fillId="2" borderId="14" xfId="3" applyFont="1" applyFill="1" applyBorder="1" applyAlignment="1">
      <alignment horizontal="right"/>
    </xf>
    <xf numFmtId="165" fontId="2" fillId="2" borderId="131" xfId="2" applyNumberFormat="1" applyFont="1" applyFill="1" applyBorder="1" applyAlignment="1">
      <alignment horizontal="center"/>
    </xf>
    <xf numFmtId="165" fontId="0" fillId="2" borderId="108" xfId="2" applyNumberFormat="1" applyFont="1" applyFill="1" applyBorder="1" applyAlignment="1">
      <alignment horizontal="center" vertical="center"/>
    </xf>
    <xf numFmtId="9" fontId="0" fillId="0" borderId="0" xfId="3" applyFont="1" applyFill="1" applyBorder="1" applyAlignment="1">
      <alignment horizontal="right" vertical="center"/>
    </xf>
    <xf numFmtId="0" fontId="23" fillId="2" borderId="57" xfId="0" applyFont="1" applyFill="1" applyBorder="1"/>
    <xf numFmtId="0" fontId="12" fillId="2" borderId="10" xfId="0" applyFont="1" applyFill="1" applyBorder="1"/>
    <xf numFmtId="0" fontId="15" fillId="2" borderId="10" xfId="0" applyFont="1" applyFill="1" applyBorder="1" applyAlignment="1">
      <alignment horizontal="right" wrapText="1"/>
    </xf>
    <xf numFmtId="0" fontId="12" fillId="2" borderId="63" xfId="0" applyFont="1" applyFill="1" applyBorder="1"/>
    <xf numFmtId="0" fontId="12" fillId="2" borderId="92" xfId="0" applyFont="1" applyFill="1" applyBorder="1"/>
    <xf numFmtId="0" fontId="2" fillId="2" borderId="7" xfId="0" applyFont="1" applyFill="1" applyBorder="1" applyAlignment="1">
      <alignment horizontal="center" vertical="center"/>
    </xf>
    <xf numFmtId="0" fontId="0" fillId="2" borderId="14" xfId="0" applyFill="1" applyBorder="1" applyAlignment="1">
      <alignment vertical="center"/>
    </xf>
    <xf numFmtId="0" fontId="2" fillId="2" borderId="7" xfId="0" applyFont="1" applyFill="1" applyBorder="1" applyAlignment="1">
      <alignment horizontal="right" vertical="center"/>
    </xf>
    <xf numFmtId="0" fontId="2" fillId="2" borderId="7" xfId="0" applyFont="1" applyFill="1" applyBorder="1" applyAlignment="1">
      <alignment horizontal="right"/>
    </xf>
    <xf numFmtId="0" fontId="112" fillId="2" borderId="31" xfId="0" applyFont="1" applyFill="1" applyBorder="1" applyAlignment="1">
      <alignment vertical="center" wrapText="1"/>
    </xf>
    <xf numFmtId="0" fontId="112" fillId="2" borderId="29" xfId="0" applyFont="1" applyFill="1" applyBorder="1" applyAlignment="1">
      <alignment vertical="center" wrapText="1"/>
    </xf>
    <xf numFmtId="44" fontId="111" fillId="2" borderId="10" xfId="2" applyFont="1" applyFill="1" applyBorder="1"/>
    <xf numFmtId="44" fontId="58" fillId="2" borderId="10" xfId="2" applyFont="1" applyFill="1" applyBorder="1"/>
    <xf numFmtId="44" fontId="111" fillId="2" borderId="6" xfId="2" applyFont="1" applyFill="1" applyBorder="1"/>
    <xf numFmtId="44" fontId="58" fillId="2" borderId="6" xfId="2" applyFont="1" applyFill="1" applyBorder="1"/>
    <xf numFmtId="0" fontId="23" fillId="2" borderId="0" xfId="0" applyFont="1" applyFill="1" applyAlignment="1">
      <alignment horizontal="left" vertical="center"/>
    </xf>
    <xf numFmtId="0" fontId="23" fillId="2" borderId="0" xfId="0" applyFont="1" applyFill="1" applyAlignment="1">
      <alignment horizontal="left"/>
    </xf>
    <xf numFmtId="0" fontId="29" fillId="0" borderId="59" xfId="0" applyFont="1" applyBorder="1" applyAlignment="1">
      <alignment vertical="center" wrapText="1"/>
    </xf>
    <xf numFmtId="0" fontId="48" fillId="2" borderId="195" xfId="0" applyFont="1" applyFill="1" applyBorder="1" applyAlignment="1">
      <alignment vertical="center" wrapText="1"/>
    </xf>
    <xf numFmtId="0" fontId="48" fillId="2" borderId="195" xfId="0" applyFont="1" applyFill="1" applyBorder="1" applyAlignment="1">
      <alignment horizontal="left" vertical="center" wrapText="1"/>
    </xf>
    <xf numFmtId="0" fontId="48" fillId="2" borderId="195" xfId="0" applyFont="1" applyFill="1" applyBorder="1" applyAlignment="1">
      <alignment vertical="top" wrapText="1"/>
    </xf>
    <xf numFmtId="0" fontId="75" fillId="2" borderId="195" xfId="0" applyFont="1" applyFill="1" applyBorder="1" applyAlignment="1">
      <alignment vertical="center" wrapText="1"/>
    </xf>
    <xf numFmtId="0" fontId="48" fillId="2" borderId="195" xfId="0" applyFont="1" applyFill="1" applyBorder="1" applyAlignment="1">
      <alignment horizontal="center" vertical="center" wrapText="1"/>
    </xf>
    <xf numFmtId="0" fontId="48" fillId="2" borderId="195" xfId="0" applyFont="1" applyFill="1" applyBorder="1" applyAlignment="1">
      <alignment horizontal="center" vertical="center"/>
    </xf>
    <xf numFmtId="14" fontId="48" fillId="2" borderId="195" xfId="0" applyNumberFormat="1" applyFont="1" applyFill="1" applyBorder="1" applyAlignment="1">
      <alignment horizontal="center" vertical="center"/>
    </xf>
    <xf numFmtId="0" fontId="26" fillId="2" borderId="195" xfId="0" applyFont="1" applyFill="1" applyBorder="1" applyAlignment="1">
      <alignment vertical="center" wrapText="1"/>
    </xf>
    <xf numFmtId="0" fontId="26" fillId="2" borderId="195" xfId="0" applyFont="1" applyFill="1" applyBorder="1" applyAlignment="1">
      <alignment horizontal="center" vertical="center" wrapText="1"/>
    </xf>
    <xf numFmtId="0" fontId="26" fillId="2" borderId="195" xfId="0" applyFont="1" applyFill="1" applyBorder="1" applyAlignment="1">
      <alignment horizontal="center" vertical="center"/>
    </xf>
    <xf numFmtId="14" fontId="26" fillId="2" borderId="195" xfId="0" applyNumberFormat="1" applyFont="1" applyFill="1" applyBorder="1" applyAlignment="1">
      <alignment horizontal="center" vertical="center" wrapText="1"/>
    </xf>
    <xf numFmtId="0" fontId="26" fillId="2" borderId="195" xfId="0" applyFont="1" applyFill="1" applyBorder="1" applyAlignment="1">
      <alignment horizontal="left" vertical="center" wrapText="1"/>
    </xf>
    <xf numFmtId="0" fontId="36" fillId="2" borderId="195" xfId="0" applyFont="1" applyFill="1" applyBorder="1" applyAlignment="1">
      <alignment horizontal="left" vertical="center" wrapText="1"/>
    </xf>
    <xf numFmtId="14" fontId="26" fillId="2" borderId="195" xfId="0" applyNumberFormat="1" applyFont="1" applyFill="1" applyBorder="1" applyAlignment="1">
      <alignment horizontal="center" vertical="center"/>
    </xf>
    <xf numFmtId="0" fontId="86" fillId="2" borderId="195" xfId="0" applyFont="1" applyFill="1" applyBorder="1" applyAlignment="1">
      <alignment vertical="center"/>
    </xf>
    <xf numFmtId="0" fontId="29" fillId="2" borderId="195" xfId="0" applyFont="1" applyFill="1" applyBorder="1" applyAlignment="1">
      <alignment vertical="center" wrapText="1"/>
    </xf>
    <xf numFmtId="0" fontId="49" fillId="2" borderId="195" xfId="0" applyFont="1" applyFill="1" applyBorder="1" applyAlignment="1">
      <alignment horizontal="left" vertical="center" wrapText="1"/>
    </xf>
    <xf numFmtId="0" fontId="49" fillId="2" borderId="195" xfId="0" applyFont="1" applyFill="1" applyBorder="1" applyAlignment="1">
      <alignment vertical="center" wrapText="1"/>
    </xf>
    <xf numFmtId="0" fontId="23" fillId="5" borderId="0" xfId="0" applyFont="1" applyFill="1" applyAlignment="1">
      <alignment horizontal="left" vertical="center"/>
    </xf>
    <xf numFmtId="0" fontId="124" fillId="2" borderId="35" xfId="0" applyFont="1" applyFill="1" applyBorder="1" applyAlignment="1">
      <alignment vertical="center" wrapText="1"/>
    </xf>
    <xf numFmtId="0" fontId="124" fillId="2" borderId="0" xfId="0" applyFont="1" applyFill="1" applyAlignment="1">
      <alignment vertical="center" wrapText="1"/>
    </xf>
    <xf numFmtId="0" fontId="113" fillId="2" borderId="35" xfId="0" applyFont="1" applyFill="1" applyBorder="1" applyAlignment="1">
      <alignment vertical="center"/>
    </xf>
    <xf numFmtId="0" fontId="5" fillId="2" borderId="68" xfId="0" applyFont="1" applyFill="1" applyBorder="1" applyAlignment="1">
      <alignment horizontal="left" indent="3"/>
    </xf>
    <xf numFmtId="0" fontId="15" fillId="2" borderId="106" xfId="0" applyFont="1" applyFill="1" applyBorder="1" applyAlignment="1">
      <alignment horizontal="right" vertical="center" wrapText="1"/>
    </xf>
    <xf numFmtId="0" fontId="5" fillId="2" borderId="38" xfId="0" applyFont="1" applyFill="1" applyBorder="1" applyAlignment="1">
      <alignment horizontal="left" vertical="center" wrapText="1" indent="3"/>
    </xf>
    <xf numFmtId="0" fontId="21" fillId="2" borderId="91" xfId="0" applyFont="1" applyFill="1" applyBorder="1" applyAlignment="1">
      <alignment horizontal="left" vertical="center" wrapText="1" indent="3"/>
    </xf>
    <xf numFmtId="0" fontId="5" fillId="2" borderId="68" xfId="0" applyFont="1" applyFill="1" applyBorder="1" applyAlignment="1">
      <alignment horizontal="left" vertical="center" wrapText="1" indent="3"/>
    </xf>
    <xf numFmtId="0" fontId="86" fillId="2" borderId="0" xfId="0" applyFont="1" applyFill="1"/>
    <xf numFmtId="0" fontId="108" fillId="2" borderId="0" xfId="0" applyFont="1" applyFill="1" applyAlignment="1">
      <alignment horizontal="center" vertical="center"/>
    </xf>
    <xf numFmtId="0" fontId="108" fillId="0" borderId="0" xfId="0" applyFont="1" applyAlignment="1">
      <alignment horizontal="center" vertical="center"/>
    </xf>
    <xf numFmtId="0" fontId="140" fillId="2" borderId="0" xfId="0" applyFont="1" applyFill="1" applyAlignment="1">
      <alignment vertical="center"/>
    </xf>
    <xf numFmtId="0" fontId="140" fillId="5" borderId="121" xfId="0" applyFont="1" applyFill="1" applyBorder="1" applyAlignment="1">
      <alignment vertical="center"/>
    </xf>
    <xf numFmtId="0" fontId="140" fillId="2" borderId="0" xfId="0" applyFont="1" applyFill="1"/>
    <xf numFmtId="0" fontId="4" fillId="2" borderId="38" xfId="0" applyFont="1" applyFill="1" applyBorder="1" applyAlignment="1">
      <alignment horizontal="left" vertical="center" indent="3"/>
    </xf>
    <xf numFmtId="0" fontId="20" fillId="2" borderId="26" xfId="0" applyFont="1" applyFill="1" applyBorder="1" applyAlignment="1">
      <alignment vertical="center" wrapText="1"/>
    </xf>
    <xf numFmtId="0" fontId="54" fillId="2" borderId="121" xfId="0" applyFont="1" applyFill="1" applyBorder="1" applyAlignment="1">
      <alignment vertical="top" wrapText="1"/>
    </xf>
    <xf numFmtId="0" fontId="5" fillId="2" borderId="104" xfId="0" applyFont="1" applyFill="1" applyBorder="1" applyAlignment="1">
      <alignment horizontal="left" indent="3"/>
    </xf>
    <xf numFmtId="0" fontId="12" fillId="2" borderId="105" xfId="0" applyFont="1" applyFill="1" applyBorder="1"/>
    <xf numFmtId="0" fontId="19" fillId="2" borderId="0" xfId="0" applyFont="1" applyFill="1" applyAlignment="1">
      <alignment horizontal="right" vertical="center"/>
    </xf>
    <xf numFmtId="0" fontId="2" fillId="2" borderId="123" xfId="0" applyFont="1" applyFill="1" applyBorder="1" applyAlignment="1">
      <alignment horizontal="right" vertical="center"/>
    </xf>
    <xf numFmtId="44" fontId="0" fillId="2" borderId="40" xfId="0" applyNumberFormat="1" applyFill="1" applyBorder="1" applyAlignment="1">
      <alignment horizontal="right"/>
    </xf>
    <xf numFmtId="0" fontId="11" fillId="2" borderId="49" xfId="0" applyFont="1" applyFill="1" applyBorder="1" applyAlignment="1">
      <alignment horizontal="center" vertical="center" wrapText="1"/>
    </xf>
    <xf numFmtId="1" fontId="2" fillId="0" borderId="36" xfId="0" applyNumberFormat="1" applyFont="1" applyBorder="1" applyAlignment="1">
      <alignment horizontal="center"/>
    </xf>
    <xf numFmtId="0" fontId="0" fillId="2" borderId="3" xfId="0" applyFill="1" applyBorder="1"/>
    <xf numFmtId="0" fontId="20" fillId="5" borderId="3" xfId="0" applyFont="1" applyFill="1" applyBorder="1"/>
    <xf numFmtId="0" fontId="0" fillId="2" borderId="2" xfId="0" applyFill="1" applyBorder="1"/>
    <xf numFmtId="0" fontId="1" fillId="0" borderId="0" xfId="1"/>
    <xf numFmtId="0" fontId="86" fillId="2" borderId="0" xfId="0" applyFont="1" applyFill="1" applyAlignment="1">
      <alignment vertical="center"/>
    </xf>
    <xf numFmtId="0" fontId="26" fillId="2" borderId="1" xfId="0" applyFont="1" applyFill="1" applyBorder="1" applyAlignment="1">
      <alignment horizontal="left" vertical="center" wrapText="1"/>
    </xf>
    <xf numFmtId="0" fontId="26" fillId="2" borderId="1" xfId="0" applyFont="1" applyFill="1" applyBorder="1" applyAlignment="1">
      <alignment vertical="center" wrapText="1"/>
    </xf>
    <xf numFmtId="0" fontId="26" fillId="2" borderId="1" xfId="0" applyFont="1" applyFill="1" applyBorder="1" applyAlignment="1">
      <alignment vertical="center"/>
    </xf>
    <xf numFmtId="0" fontId="48" fillId="0" borderId="196" xfId="0" applyFont="1" applyBorder="1" applyAlignment="1">
      <alignment horizontal="center" vertical="center"/>
    </xf>
    <xf numFmtId="0" fontId="27" fillId="2" borderId="1" xfId="0" applyFont="1" applyFill="1" applyBorder="1" applyAlignment="1">
      <alignment horizontal="center" vertical="center"/>
    </xf>
    <xf numFmtId="0" fontId="27" fillId="2" borderId="1" xfId="0" applyFont="1" applyFill="1" applyBorder="1" applyAlignment="1">
      <alignment vertical="center" wrapText="1"/>
    </xf>
    <xf numFmtId="0" fontId="1" fillId="2" borderId="57" xfId="1" applyFill="1" applyBorder="1"/>
    <xf numFmtId="9" fontId="23" fillId="2" borderId="0" xfId="3" applyFont="1" applyFill="1" applyBorder="1" applyAlignment="1">
      <alignment horizontal="left"/>
    </xf>
    <xf numFmtId="0" fontId="55" fillId="2" borderId="57" xfId="0" applyFont="1" applyFill="1" applyBorder="1"/>
    <xf numFmtId="0" fontId="120" fillId="2" borderId="76" xfId="0" applyFont="1" applyFill="1" applyBorder="1" applyAlignment="1">
      <alignment vertical="center"/>
    </xf>
    <xf numFmtId="0" fontId="121" fillId="2" borderId="76" xfId="0" applyFont="1" applyFill="1" applyBorder="1" applyAlignment="1">
      <alignment horizontal="center" vertical="center"/>
    </xf>
    <xf numFmtId="0" fontId="141" fillId="2" borderId="76" xfId="1" applyFont="1" applyFill="1" applyBorder="1" applyAlignment="1">
      <alignment horizontal="left" vertical="center"/>
    </xf>
    <xf numFmtId="0" fontId="108" fillId="2" borderId="76" xfId="0" applyFont="1" applyFill="1" applyBorder="1" applyAlignment="1">
      <alignment horizontal="center" vertical="center"/>
    </xf>
    <xf numFmtId="0" fontId="141" fillId="0" borderId="76" xfId="1" applyFont="1" applyFill="1" applyBorder="1" applyAlignment="1">
      <alignment vertical="center"/>
    </xf>
    <xf numFmtId="0" fontId="141" fillId="2" borderId="76" xfId="1" applyFont="1" applyFill="1" applyBorder="1" applyAlignment="1">
      <alignment vertical="center"/>
    </xf>
    <xf numFmtId="0" fontId="108" fillId="0" borderId="76" xfId="0" applyFont="1" applyBorder="1" applyAlignment="1">
      <alignment horizontal="center" vertical="center"/>
    </xf>
    <xf numFmtId="0" fontId="26" fillId="2" borderId="59" xfId="0" applyFont="1" applyFill="1" applyBorder="1" applyAlignment="1">
      <alignment wrapText="1"/>
    </xf>
    <xf numFmtId="0" fontId="10" fillId="11" borderId="0" xfId="0" applyFont="1" applyFill="1" applyAlignment="1">
      <alignment vertical="center"/>
    </xf>
    <xf numFmtId="0" fontId="118" fillId="11" borderId="0" xfId="0" applyFont="1" applyFill="1" applyAlignment="1">
      <alignment horizontal="center" vertical="center"/>
    </xf>
    <xf numFmtId="0" fontId="43" fillId="11" borderId="58" xfId="0" applyFont="1" applyFill="1" applyBorder="1" applyAlignment="1">
      <alignment horizontal="left" vertical="center"/>
    </xf>
    <xf numFmtId="0" fontId="27" fillId="11" borderId="0" xfId="0" applyFont="1" applyFill="1"/>
    <xf numFmtId="0" fontId="43" fillId="2" borderId="0" xfId="0" applyFont="1" applyFill="1" applyAlignment="1">
      <alignment vertical="center"/>
    </xf>
    <xf numFmtId="0" fontId="144" fillId="2" borderId="0" xfId="0" applyFont="1" applyFill="1" applyAlignment="1">
      <alignment vertical="center"/>
    </xf>
    <xf numFmtId="0" fontId="146" fillId="0" borderId="195" xfId="0" applyFont="1" applyBorder="1" applyAlignment="1">
      <alignment horizontal="center" vertical="center" wrapText="1"/>
    </xf>
    <xf numFmtId="0" fontId="44" fillId="2" borderId="0" xfId="0" applyFont="1" applyFill="1" applyAlignment="1">
      <alignment horizontal="center" vertical="center"/>
    </xf>
    <xf numFmtId="0" fontId="44" fillId="2" borderId="0" xfId="0" applyFont="1" applyFill="1" applyAlignment="1">
      <alignment vertical="center"/>
    </xf>
    <xf numFmtId="0" fontId="147" fillId="12" borderId="195" xfId="0" applyFont="1" applyFill="1" applyBorder="1" applyAlignment="1">
      <alignment horizontal="center" vertical="center" wrapText="1"/>
    </xf>
    <xf numFmtId="0" fontId="146" fillId="2" borderId="0" xfId="0" applyFont="1" applyFill="1" applyAlignment="1">
      <alignment horizontal="left" wrapText="1"/>
    </xf>
    <xf numFmtId="0" fontId="147" fillId="12" borderId="55" xfId="0" applyFont="1" applyFill="1" applyBorder="1" applyAlignment="1">
      <alignment horizontal="center" vertical="center" wrapText="1"/>
    </xf>
    <xf numFmtId="0" fontId="147" fillId="12" borderId="1" xfId="0" applyFont="1" applyFill="1" applyBorder="1" applyAlignment="1">
      <alignment horizontal="center" vertical="center"/>
    </xf>
    <xf numFmtId="0" fontId="148" fillId="2" borderId="0" xfId="0" applyFont="1" applyFill="1" applyAlignment="1">
      <alignment horizontal="center" vertical="top" wrapText="1"/>
    </xf>
    <xf numFmtId="0" fontId="148" fillId="2" borderId="0" xfId="0" applyFont="1" applyFill="1" applyAlignment="1">
      <alignment horizontal="center" wrapText="1"/>
    </xf>
    <xf numFmtId="0" fontId="7" fillId="11" borderId="25" xfId="0" applyFont="1" applyFill="1" applyBorder="1" applyAlignment="1">
      <alignment vertical="center" wrapText="1"/>
    </xf>
    <xf numFmtId="0" fontId="7" fillId="11" borderId="25" xfId="0" applyFont="1" applyFill="1" applyBorder="1" applyAlignment="1">
      <alignment wrapText="1"/>
    </xf>
    <xf numFmtId="0" fontId="7" fillId="11" borderId="32" xfId="0" applyFont="1" applyFill="1" applyBorder="1" applyAlignment="1">
      <alignment wrapText="1"/>
    </xf>
    <xf numFmtId="0" fontId="26" fillId="2" borderId="24" xfId="0" applyFont="1" applyFill="1" applyBorder="1"/>
    <xf numFmtId="0" fontId="26" fillId="2" borderId="163" xfId="0" applyFont="1" applyFill="1" applyBorder="1"/>
    <xf numFmtId="44" fontId="21" fillId="2" borderId="144" xfId="2" applyFont="1" applyFill="1" applyBorder="1" applyAlignment="1">
      <alignment horizontal="center" vertical="center"/>
    </xf>
    <xf numFmtId="9" fontId="2" fillId="5" borderId="79" xfId="3" applyFont="1" applyFill="1" applyBorder="1" applyAlignment="1">
      <alignment vertical="center"/>
    </xf>
    <xf numFmtId="0" fontId="2" fillId="0" borderId="75" xfId="0" applyFont="1" applyBorder="1" applyAlignment="1">
      <alignment horizontal="center"/>
    </xf>
    <xf numFmtId="44" fontId="5" fillId="2" borderId="7" xfId="0" applyNumberFormat="1" applyFont="1" applyFill="1" applyBorder="1" applyAlignment="1">
      <alignment horizontal="right" vertical="center"/>
    </xf>
    <xf numFmtId="9" fontId="2" fillId="2" borderId="79" xfId="2" applyNumberFormat="1" applyFont="1" applyFill="1" applyBorder="1" applyAlignment="1">
      <alignment horizontal="right" vertical="center"/>
    </xf>
    <xf numFmtId="9" fontId="2" fillId="2" borderId="7" xfId="2" applyNumberFormat="1" applyFont="1" applyFill="1" applyBorder="1" applyAlignment="1">
      <alignment horizontal="right" vertical="center"/>
    </xf>
    <xf numFmtId="9" fontId="0" fillId="2" borderId="66" xfId="3" applyFont="1" applyFill="1" applyBorder="1"/>
    <xf numFmtId="9" fontId="0" fillId="2" borderId="198" xfId="3" applyFont="1" applyFill="1" applyBorder="1"/>
    <xf numFmtId="0" fontId="149" fillId="2" borderId="0" xfId="0" applyFont="1" applyFill="1" applyAlignment="1">
      <alignment horizontal="right" vertical="center" wrapText="1"/>
    </xf>
    <xf numFmtId="0" fontId="2" fillId="2" borderId="100" xfId="0" applyFont="1" applyFill="1" applyBorder="1" applyAlignment="1">
      <alignment horizontal="right" vertical="center"/>
    </xf>
    <xf numFmtId="0" fontId="2" fillId="13" borderId="36" xfId="0" applyFont="1" applyFill="1" applyBorder="1" applyAlignment="1">
      <alignment horizontal="center" vertical="center"/>
    </xf>
    <xf numFmtId="165" fontId="2" fillId="13" borderId="7" xfId="2" applyNumberFormat="1" applyFont="1" applyFill="1" applyBorder="1" applyAlignment="1">
      <alignment horizontal="center"/>
    </xf>
    <xf numFmtId="165" fontId="2" fillId="13" borderId="48" xfId="2" applyNumberFormat="1" applyFont="1" applyFill="1" applyBorder="1" applyAlignment="1">
      <alignment horizontal="center" vertical="center"/>
    </xf>
    <xf numFmtId="9" fontId="2" fillId="13" borderId="36" xfId="3" applyFont="1" applyFill="1" applyBorder="1" applyAlignment="1">
      <alignment horizontal="right" vertical="center"/>
    </xf>
    <xf numFmtId="0" fontId="2" fillId="13" borderId="76" xfId="0" applyFont="1" applyFill="1" applyBorder="1" applyAlignment="1">
      <alignment horizontal="right" vertical="center"/>
    </xf>
    <xf numFmtId="44" fontId="0" fillId="13" borderId="76" xfId="0" applyNumberFormat="1" applyFill="1" applyBorder="1" applyAlignment="1">
      <alignment horizontal="right" vertical="center"/>
    </xf>
    <xf numFmtId="0" fontId="2" fillId="13" borderId="46" xfId="0" applyFont="1" applyFill="1" applyBorder="1" applyAlignment="1">
      <alignment horizontal="right" vertical="center"/>
    </xf>
    <xf numFmtId="0" fontId="2" fillId="13" borderId="47" xfId="0" applyFont="1" applyFill="1" applyBorder="1" applyAlignment="1">
      <alignment horizontal="right" vertical="center"/>
    </xf>
    <xf numFmtId="165" fontId="2" fillId="13" borderId="36" xfId="2" applyNumberFormat="1" applyFont="1" applyFill="1" applyBorder="1" applyAlignment="1">
      <alignment horizontal="center" vertical="center"/>
    </xf>
    <xf numFmtId="9" fontId="2" fillId="13" borderId="36" xfId="2" applyNumberFormat="1" applyFont="1" applyFill="1" applyBorder="1" applyAlignment="1">
      <alignment horizontal="right" vertical="center"/>
    </xf>
    <xf numFmtId="9" fontId="2" fillId="13" borderId="48" xfId="2" applyNumberFormat="1" applyFont="1" applyFill="1" applyBorder="1" applyAlignment="1">
      <alignment horizontal="right" vertical="center"/>
    </xf>
    <xf numFmtId="44" fontId="0" fillId="13" borderId="35" xfId="0" applyNumberFormat="1" applyFill="1" applyBorder="1" applyAlignment="1">
      <alignment horizontal="right" vertical="center"/>
    </xf>
    <xf numFmtId="44" fontId="0" fillId="13" borderId="38" xfId="0" applyNumberFormat="1" applyFill="1" applyBorder="1" applyAlignment="1">
      <alignment horizontal="right" vertical="center"/>
    </xf>
    <xf numFmtId="0" fontId="2" fillId="13" borderId="91" xfId="0" applyFont="1" applyFill="1" applyBorder="1" applyAlignment="1">
      <alignment horizontal="right" vertical="center"/>
    </xf>
    <xf numFmtId="165" fontId="2" fillId="13" borderId="98" xfId="2" applyNumberFormat="1" applyFont="1" applyFill="1" applyBorder="1" applyAlignment="1">
      <alignment horizontal="center" vertical="center"/>
    </xf>
    <xf numFmtId="165" fontId="2" fillId="13" borderId="94" xfId="2" applyNumberFormat="1" applyFont="1" applyFill="1" applyBorder="1" applyAlignment="1">
      <alignment horizontal="center" vertical="center"/>
    </xf>
    <xf numFmtId="9" fontId="2" fillId="13" borderId="99" xfId="2" applyNumberFormat="1" applyFont="1" applyFill="1" applyBorder="1" applyAlignment="1">
      <alignment horizontal="right" vertical="center"/>
    </xf>
    <xf numFmtId="9" fontId="2" fillId="13" borderId="94" xfId="2" applyNumberFormat="1" applyFont="1" applyFill="1" applyBorder="1" applyAlignment="1">
      <alignment horizontal="right" vertical="center"/>
    </xf>
    <xf numFmtId="0" fontId="2" fillId="13" borderId="98" xfId="0" applyFont="1" applyFill="1" applyBorder="1" applyAlignment="1">
      <alignment horizontal="right" vertical="center"/>
    </xf>
    <xf numFmtId="0" fontId="2" fillId="13" borderId="99" xfId="0" applyFont="1" applyFill="1" applyBorder="1" applyAlignment="1">
      <alignment horizontal="right" vertical="center"/>
    </xf>
    <xf numFmtId="44" fontId="2" fillId="13" borderId="96" xfId="3" applyNumberFormat="1" applyFont="1" applyFill="1" applyBorder="1" applyAlignment="1">
      <alignment horizontal="right" vertical="center"/>
    </xf>
    <xf numFmtId="44" fontId="2" fillId="13" borderId="95" xfId="3" applyNumberFormat="1" applyFont="1" applyFill="1" applyBorder="1" applyAlignment="1">
      <alignment horizontal="right" vertical="center"/>
    </xf>
    <xf numFmtId="44" fontId="2" fillId="13" borderId="94" xfId="3" applyNumberFormat="1" applyFont="1" applyFill="1" applyBorder="1" applyAlignment="1">
      <alignment horizontal="right" vertical="center"/>
    </xf>
    <xf numFmtId="9" fontId="2" fillId="13" borderId="77" xfId="3" applyFont="1" applyFill="1" applyBorder="1" applyAlignment="1">
      <alignment horizontal="right" vertical="center"/>
    </xf>
    <xf numFmtId="44" fontId="0" fillId="13" borderId="125" xfId="0" applyNumberFormat="1" applyFill="1" applyBorder="1" applyAlignment="1">
      <alignment horizontal="right" vertical="center"/>
    </xf>
    <xf numFmtId="0" fontId="2" fillId="13" borderId="48" xfId="0" applyFont="1" applyFill="1" applyBorder="1" applyAlignment="1">
      <alignment horizontal="right" vertical="center"/>
    </xf>
    <xf numFmtId="0" fontId="0" fillId="13" borderId="76" xfId="0" applyFill="1" applyBorder="1" applyAlignment="1">
      <alignment horizontal="right" vertical="center"/>
    </xf>
    <xf numFmtId="0" fontId="2" fillId="13" borderId="79" xfId="0" applyFont="1" applyFill="1" applyBorder="1" applyAlignment="1">
      <alignment horizontal="center" vertical="center"/>
    </xf>
    <xf numFmtId="165" fontId="2" fillId="13" borderId="7" xfId="2" applyNumberFormat="1" applyFont="1" applyFill="1" applyBorder="1" applyAlignment="1">
      <alignment horizontal="center" vertical="center"/>
    </xf>
    <xf numFmtId="0" fontId="19" fillId="13" borderId="47" xfId="0" applyFont="1" applyFill="1" applyBorder="1" applyAlignment="1">
      <alignment horizontal="right" vertical="center"/>
    </xf>
    <xf numFmtId="0" fontId="0" fillId="13" borderId="76" xfId="0" applyFill="1" applyBorder="1" applyAlignment="1">
      <alignment horizontal="center" vertical="center"/>
    </xf>
    <xf numFmtId="0" fontId="2" fillId="13" borderId="8" xfId="0" applyFont="1" applyFill="1" applyBorder="1" applyAlignment="1">
      <alignment horizontal="right" vertical="center"/>
    </xf>
    <xf numFmtId="0" fontId="2" fillId="13" borderId="13" xfId="0" applyFont="1" applyFill="1" applyBorder="1" applyAlignment="1">
      <alignment horizontal="right" vertical="center"/>
    </xf>
    <xf numFmtId="9" fontId="2" fillId="13" borderId="7" xfId="2" applyNumberFormat="1" applyFont="1" applyFill="1" applyBorder="1" applyAlignment="1">
      <alignment horizontal="right" vertical="center"/>
    </xf>
    <xf numFmtId="0" fontId="0" fillId="13" borderId="81" xfId="0" applyFill="1" applyBorder="1" applyAlignment="1">
      <alignment horizontal="center" vertical="center"/>
    </xf>
    <xf numFmtId="0" fontId="2" fillId="13" borderId="130" xfId="0" applyFont="1" applyFill="1" applyBorder="1" applyAlignment="1">
      <alignment horizontal="center" vertical="center"/>
    </xf>
    <xf numFmtId="165" fontId="2" fillId="13" borderId="23" xfId="2" applyNumberFormat="1" applyFont="1" applyFill="1" applyBorder="1" applyAlignment="1">
      <alignment horizontal="center" vertical="center"/>
    </xf>
    <xf numFmtId="9" fontId="2" fillId="13" borderId="58" xfId="2" applyNumberFormat="1" applyFont="1" applyFill="1" applyBorder="1" applyAlignment="1">
      <alignment horizontal="right" vertical="center"/>
    </xf>
    <xf numFmtId="0" fontId="2" fillId="13" borderId="81" xfId="0" applyFont="1" applyFill="1" applyBorder="1" applyAlignment="1">
      <alignment horizontal="center" vertical="center"/>
    </xf>
    <xf numFmtId="1" fontId="2" fillId="13" borderId="32" xfId="0" applyNumberFormat="1" applyFont="1" applyFill="1" applyBorder="1" applyAlignment="1">
      <alignment horizontal="center" vertical="center"/>
    </xf>
    <xf numFmtId="0" fontId="0" fillId="13" borderId="35" xfId="0" applyFill="1" applyBorder="1" applyAlignment="1">
      <alignment horizontal="center" vertical="center"/>
    </xf>
    <xf numFmtId="1" fontId="0" fillId="13" borderId="36" xfId="0" applyNumberFormat="1" applyFill="1" applyBorder="1" applyAlignment="1">
      <alignment horizontal="center" vertical="center"/>
    </xf>
    <xf numFmtId="165" fontId="0" fillId="13" borderId="36" xfId="2" applyNumberFormat="1" applyFont="1" applyFill="1" applyBorder="1" applyAlignment="1">
      <alignment horizontal="center" vertical="center"/>
    </xf>
    <xf numFmtId="165" fontId="0" fillId="13" borderId="7" xfId="2" applyNumberFormat="1" applyFont="1" applyFill="1" applyBorder="1" applyAlignment="1">
      <alignment horizontal="center" vertical="center"/>
    </xf>
    <xf numFmtId="165" fontId="0" fillId="13" borderId="48" xfId="2" applyNumberFormat="1" applyFont="1" applyFill="1" applyBorder="1" applyAlignment="1">
      <alignment horizontal="center" vertical="center"/>
    </xf>
    <xf numFmtId="9" fontId="0" fillId="13" borderId="36" xfId="2" applyNumberFormat="1" applyFont="1" applyFill="1" applyBorder="1" applyAlignment="1">
      <alignment horizontal="right" vertical="center"/>
    </xf>
    <xf numFmtId="9" fontId="0" fillId="13" borderId="7" xfId="2" applyNumberFormat="1" applyFont="1" applyFill="1" applyBorder="1" applyAlignment="1">
      <alignment horizontal="right" vertical="center"/>
    </xf>
    <xf numFmtId="9" fontId="2" fillId="13" borderId="79" xfId="3" applyFont="1" applyFill="1" applyBorder="1" applyAlignment="1">
      <alignment horizontal="right" vertical="center"/>
    </xf>
    <xf numFmtId="165" fontId="0" fillId="13" borderId="90" xfId="2" applyNumberFormat="1" applyFont="1" applyFill="1" applyBorder="1" applyAlignment="1">
      <alignment horizontal="center" vertical="center"/>
    </xf>
    <xf numFmtId="0" fontId="16" fillId="13" borderId="76" xfId="0" applyFont="1" applyFill="1" applyBorder="1" applyAlignment="1">
      <alignment horizontal="right" vertical="center"/>
    </xf>
    <xf numFmtId="1" fontId="0" fillId="13" borderId="75" xfId="0" applyNumberFormat="1" applyFill="1" applyBorder="1" applyAlignment="1">
      <alignment horizontal="center" vertical="center"/>
    </xf>
    <xf numFmtId="165" fontId="0" fillId="13" borderId="22" xfId="2" applyNumberFormat="1" applyFont="1" applyFill="1" applyBorder="1" applyAlignment="1">
      <alignment horizontal="center" vertical="center"/>
    </xf>
    <xf numFmtId="44" fontId="14" fillId="13" borderId="6" xfId="2" applyFont="1" applyFill="1" applyBorder="1"/>
    <xf numFmtId="44" fontId="14" fillId="13" borderId="10" xfId="2" applyFont="1" applyFill="1" applyBorder="1"/>
    <xf numFmtId="44" fontId="14" fillId="13" borderId="6" xfId="2" applyFont="1" applyFill="1" applyBorder="1" applyAlignment="1">
      <alignment vertical="center"/>
    </xf>
    <xf numFmtId="1" fontId="2" fillId="13" borderId="36" xfId="0" applyNumberFormat="1" applyFont="1" applyFill="1" applyBorder="1" applyAlignment="1">
      <alignment horizontal="center"/>
    </xf>
    <xf numFmtId="0" fontId="2" fillId="13" borderId="76" xfId="0" applyFont="1" applyFill="1" applyBorder="1" applyAlignment="1">
      <alignment horizontal="center"/>
    </xf>
    <xf numFmtId="1" fontId="2" fillId="13" borderId="76" xfId="0" applyNumberFormat="1" applyFont="1" applyFill="1" applyBorder="1" applyAlignment="1">
      <alignment horizontal="center"/>
    </xf>
    <xf numFmtId="44" fontId="2" fillId="13" borderId="76" xfId="0" applyNumberFormat="1" applyFont="1" applyFill="1" applyBorder="1" applyAlignment="1">
      <alignment horizontal="center"/>
    </xf>
    <xf numFmtId="165" fontId="2" fillId="13" borderId="36" xfId="2" applyNumberFormat="1" applyFont="1" applyFill="1" applyBorder="1" applyAlignment="1"/>
    <xf numFmtId="9" fontId="2" fillId="13" borderId="36" xfId="2" applyNumberFormat="1" applyFont="1" applyFill="1" applyBorder="1" applyAlignment="1"/>
    <xf numFmtId="9" fontId="2" fillId="13" borderId="36" xfId="3" applyFont="1" applyFill="1" applyBorder="1" applyAlignment="1">
      <alignment horizontal="right"/>
    </xf>
    <xf numFmtId="165" fontId="2" fillId="13" borderId="38" xfId="2" applyNumberFormat="1" applyFont="1" applyFill="1" applyBorder="1" applyAlignment="1">
      <alignment horizontal="center" vertical="center"/>
    </xf>
    <xf numFmtId="9" fontId="2" fillId="13" borderId="38" xfId="2" applyNumberFormat="1" applyFont="1" applyFill="1" applyBorder="1" applyAlignment="1">
      <alignment vertical="center"/>
    </xf>
    <xf numFmtId="0" fontId="2" fillId="13" borderId="38" xfId="0" applyFont="1" applyFill="1" applyBorder="1" applyAlignment="1">
      <alignment horizontal="center" vertical="center"/>
    </xf>
    <xf numFmtId="0" fontId="2" fillId="13" borderId="76" xfId="0" applyFont="1" applyFill="1" applyBorder="1" applyAlignment="1">
      <alignment horizontal="center" vertical="center"/>
    </xf>
    <xf numFmtId="1" fontId="2" fillId="13" borderId="76" xfId="0" applyNumberFormat="1" applyFont="1" applyFill="1" applyBorder="1" applyAlignment="1">
      <alignment horizontal="center" vertical="center"/>
    </xf>
    <xf numFmtId="44" fontId="2" fillId="13" borderId="76" xfId="3" applyNumberFormat="1" applyFont="1" applyFill="1" applyBorder="1" applyAlignment="1">
      <alignment horizontal="right" vertical="center"/>
    </xf>
    <xf numFmtId="0" fontId="2" fillId="13" borderId="58" xfId="0" applyFont="1" applyFill="1" applyBorder="1" applyAlignment="1">
      <alignment horizontal="center"/>
    </xf>
    <xf numFmtId="0" fontId="2" fillId="13" borderId="7" xfId="0" applyFont="1" applyFill="1" applyBorder="1" applyAlignment="1">
      <alignment horizontal="right"/>
    </xf>
    <xf numFmtId="165" fontId="2" fillId="13" borderId="36" xfId="2" applyNumberFormat="1" applyFont="1" applyFill="1" applyBorder="1" applyAlignment="1">
      <alignment horizontal="center"/>
    </xf>
    <xf numFmtId="9" fontId="2" fillId="13" borderId="36" xfId="2" applyNumberFormat="1" applyFont="1" applyFill="1" applyBorder="1" applyAlignment="1">
      <alignment horizontal="right"/>
    </xf>
    <xf numFmtId="9" fontId="2" fillId="13" borderId="7" xfId="2" applyNumberFormat="1" applyFont="1" applyFill="1" applyBorder="1" applyAlignment="1">
      <alignment horizontal="right"/>
    </xf>
    <xf numFmtId="0" fontId="2" fillId="13" borderId="153" xfId="3" applyNumberFormat="1" applyFont="1" applyFill="1" applyBorder="1" applyAlignment="1">
      <alignment horizontal="right"/>
    </xf>
    <xf numFmtId="44" fontId="2" fillId="13" borderId="98" xfId="3" applyNumberFormat="1" applyFont="1" applyFill="1" applyBorder="1" applyAlignment="1">
      <alignment horizontal="right"/>
    </xf>
    <xf numFmtId="44" fontId="2" fillId="13" borderId="153" xfId="3" applyNumberFormat="1" applyFont="1" applyFill="1" applyBorder="1" applyAlignment="1">
      <alignment horizontal="right"/>
    </xf>
    <xf numFmtId="44" fontId="2" fillId="13" borderId="99" xfId="3" applyNumberFormat="1" applyFont="1" applyFill="1" applyBorder="1" applyAlignment="1">
      <alignment horizontal="right"/>
    </xf>
    <xf numFmtId="0" fontId="138" fillId="13" borderId="76" xfId="0" applyFont="1" applyFill="1" applyBorder="1" applyAlignment="1">
      <alignment wrapText="1"/>
    </xf>
    <xf numFmtId="0" fontId="0" fillId="13" borderId="36" xfId="0" applyFill="1" applyBorder="1" applyAlignment="1">
      <alignment horizontal="center" vertical="center"/>
    </xf>
    <xf numFmtId="0" fontId="6" fillId="13" borderId="76" xfId="0" applyFont="1" applyFill="1" applyBorder="1" applyAlignment="1">
      <alignment horizontal="right" vertical="center"/>
    </xf>
    <xf numFmtId="165" fontId="0" fillId="13" borderId="76" xfId="2" applyNumberFormat="1" applyFont="1" applyFill="1" applyBorder="1" applyAlignment="1">
      <alignment horizontal="center" vertical="center"/>
    </xf>
    <xf numFmtId="9" fontId="0" fillId="13" borderId="76" xfId="2" applyNumberFormat="1" applyFont="1" applyFill="1" applyBorder="1" applyAlignment="1">
      <alignment horizontal="right" vertical="center"/>
    </xf>
    <xf numFmtId="9" fontId="2" fillId="13" borderId="48" xfId="3" applyFont="1" applyFill="1" applyBorder="1" applyAlignment="1">
      <alignment horizontal="right" vertical="center"/>
    </xf>
    <xf numFmtId="9" fontId="2" fillId="13" borderId="156" xfId="3" applyFont="1" applyFill="1" applyBorder="1" applyAlignment="1">
      <alignment horizontal="right" vertical="center"/>
    </xf>
    <xf numFmtId="0" fontId="2" fillId="13" borderId="146" xfId="0" applyFont="1" applyFill="1" applyBorder="1" applyAlignment="1">
      <alignment horizontal="center" vertical="center"/>
    </xf>
    <xf numFmtId="0" fontId="2" fillId="13" borderId="154" xfId="0" applyFont="1" applyFill="1" applyBorder="1" applyAlignment="1">
      <alignment horizontal="center" vertical="center"/>
    </xf>
    <xf numFmtId="164" fontId="14" fillId="13" borderId="6" xfId="2" applyNumberFormat="1" applyFont="1" applyFill="1" applyBorder="1" applyAlignment="1">
      <alignment vertical="center"/>
    </xf>
    <xf numFmtId="164" fontId="14" fillId="13" borderId="10" xfId="2" applyNumberFormat="1" applyFont="1" applyFill="1" applyBorder="1" applyAlignment="1">
      <alignment vertical="center"/>
    </xf>
    <xf numFmtId="0" fontId="2" fillId="13" borderId="77" xfId="0" applyFont="1" applyFill="1" applyBorder="1" applyAlignment="1">
      <alignment horizontal="center" vertical="center"/>
    </xf>
    <xf numFmtId="165" fontId="2" fillId="13" borderId="75" xfId="2" applyNumberFormat="1" applyFont="1" applyFill="1" applyBorder="1" applyAlignment="1">
      <alignment horizontal="center" vertical="center"/>
    </xf>
    <xf numFmtId="44" fontId="2" fillId="13" borderId="76" xfId="3" applyNumberFormat="1" applyFont="1" applyFill="1" applyBorder="1" applyAlignment="1">
      <alignment horizontal="right"/>
    </xf>
    <xf numFmtId="0" fontId="2" fillId="13" borderId="100" xfId="0" applyFont="1" applyFill="1" applyBorder="1" applyAlignment="1">
      <alignment horizontal="right" vertical="center"/>
    </xf>
    <xf numFmtId="0" fontId="2" fillId="13" borderId="140" xfId="0" applyFont="1" applyFill="1" applyBorder="1" applyAlignment="1">
      <alignment vertical="center"/>
    </xf>
    <xf numFmtId="44" fontId="2" fillId="13" borderId="75" xfId="2" applyFont="1" applyFill="1" applyBorder="1" applyAlignment="1">
      <alignment horizontal="center" vertical="center"/>
    </xf>
    <xf numFmtId="165" fontId="2" fillId="13" borderId="141" xfId="2" applyNumberFormat="1" applyFont="1" applyFill="1" applyBorder="1" applyAlignment="1">
      <alignment vertical="center"/>
    </xf>
    <xf numFmtId="9" fontId="2" fillId="13" borderId="48" xfId="2" applyNumberFormat="1" applyFont="1" applyFill="1" applyBorder="1" applyAlignment="1">
      <alignment vertical="center"/>
    </xf>
    <xf numFmtId="44" fontId="2" fillId="13" borderId="146" xfId="2" applyFont="1" applyFill="1" applyBorder="1" applyAlignment="1">
      <alignment horizontal="center" vertical="center"/>
    </xf>
    <xf numFmtId="44" fontId="2" fillId="13" borderId="77" xfId="2" applyFont="1" applyFill="1" applyBorder="1" applyAlignment="1">
      <alignment horizontal="center" vertical="center"/>
    </xf>
    <xf numFmtId="9" fontId="11" fillId="2" borderId="35" xfId="3" applyFont="1" applyFill="1" applyBorder="1" applyAlignment="1">
      <alignment horizontal="center"/>
    </xf>
    <xf numFmtId="0" fontId="15" fillId="2" borderId="23" xfId="0" applyFont="1" applyFill="1" applyBorder="1" applyAlignment="1">
      <alignment horizontal="right" vertical="top" wrapText="1"/>
    </xf>
    <xf numFmtId="49" fontId="14" fillId="13" borderId="6" xfId="2" applyNumberFormat="1" applyFont="1" applyFill="1" applyBorder="1" applyAlignment="1">
      <alignment horizontal="right" vertical="center"/>
    </xf>
    <xf numFmtId="0" fontId="76" fillId="0" borderId="0" xfId="0" applyFont="1" applyAlignment="1">
      <alignment vertical="center" wrapText="1"/>
    </xf>
    <xf numFmtId="0" fontId="61" fillId="2" borderId="54" xfId="0" applyFont="1" applyFill="1" applyBorder="1" applyAlignment="1">
      <alignment horizontal="center" vertical="center"/>
    </xf>
    <xf numFmtId="44" fontId="62" fillId="2" borderId="12" xfId="0" applyNumberFormat="1" applyFont="1" applyFill="1" applyBorder="1" applyAlignment="1">
      <alignment vertical="center"/>
    </xf>
    <xf numFmtId="44" fontId="62" fillId="2" borderId="11" xfId="0" applyNumberFormat="1" applyFont="1" applyFill="1" applyBorder="1" applyAlignment="1">
      <alignment vertical="center"/>
    </xf>
    <xf numFmtId="0" fontId="146" fillId="2" borderId="199" xfId="0" applyFont="1" applyFill="1" applyBorder="1" applyAlignment="1">
      <alignment horizontal="center" vertical="center" wrapText="1"/>
    </xf>
    <xf numFmtId="0" fontId="146" fillId="0" borderId="0" xfId="0" applyFont="1" applyAlignment="1">
      <alignment horizontal="center" vertical="center" wrapText="1"/>
    </xf>
    <xf numFmtId="0" fontId="48" fillId="2" borderId="1" xfId="0" applyFont="1" applyFill="1" applyBorder="1" applyAlignment="1">
      <alignment horizontal="left" vertical="center" wrapText="1"/>
    </xf>
    <xf numFmtId="0" fontId="1" fillId="2" borderId="59" xfId="1" applyFill="1" applyBorder="1" applyAlignment="1">
      <alignment horizontal="left" indent="4"/>
    </xf>
    <xf numFmtId="0" fontId="4" fillId="2" borderId="57" xfId="0" applyFont="1" applyFill="1" applyBorder="1"/>
    <xf numFmtId="0" fontId="0" fillId="2" borderId="168" xfId="0" applyFill="1" applyBorder="1"/>
    <xf numFmtId="44" fontId="14" fillId="2" borderId="128" xfId="0" applyNumberFormat="1" applyFont="1" applyFill="1" applyBorder="1" applyAlignment="1">
      <alignment horizontal="right"/>
    </xf>
    <xf numFmtId="0" fontId="5" fillId="0" borderId="38" xfId="0" applyFont="1" applyBorder="1" applyAlignment="1">
      <alignment horizontal="left" indent="3"/>
    </xf>
    <xf numFmtId="44" fontId="14" fillId="2" borderId="10" xfId="2" applyFont="1" applyFill="1" applyBorder="1" applyAlignment="1">
      <alignment horizontal="center"/>
    </xf>
    <xf numFmtId="0" fontId="152" fillId="2" borderId="0" xfId="0" applyFont="1" applyFill="1"/>
    <xf numFmtId="0" fontId="4" fillId="2" borderId="49" xfId="0" applyFont="1" applyFill="1" applyBorder="1" applyAlignment="1">
      <alignment horizontal="left" indent="2"/>
    </xf>
    <xf numFmtId="44" fontId="0" fillId="2" borderId="76" xfId="0" applyNumberFormat="1" applyFill="1" applyBorder="1" applyAlignment="1">
      <alignment horizontal="right" vertical="center"/>
    </xf>
    <xf numFmtId="0" fontId="11" fillId="2" borderId="76" xfId="0" applyFont="1" applyFill="1" applyBorder="1" applyAlignment="1">
      <alignment horizontal="center" vertical="center" wrapText="1"/>
    </xf>
    <xf numFmtId="0" fontId="2" fillId="2" borderId="200" xfId="0" applyFont="1" applyFill="1" applyBorder="1" applyAlignment="1">
      <alignment horizontal="center" vertical="center"/>
    </xf>
    <xf numFmtId="0" fontId="2" fillId="0" borderId="201" xfId="0" applyFont="1" applyBorder="1" applyAlignment="1">
      <alignment horizontal="center" vertical="center"/>
    </xf>
    <xf numFmtId="0" fontId="2" fillId="2" borderId="144" xfId="0" applyFont="1" applyFill="1" applyBorder="1" applyAlignment="1">
      <alignment horizontal="center" vertical="center"/>
    </xf>
    <xf numFmtId="0" fontId="0" fillId="13" borderId="144" xfId="0" applyFill="1" applyBorder="1" applyAlignment="1">
      <alignment horizontal="center" vertical="center"/>
    </xf>
    <xf numFmtId="0" fontId="0" fillId="2" borderId="144" xfId="0" applyFill="1" applyBorder="1" applyAlignment="1">
      <alignment horizontal="center" vertical="center"/>
    </xf>
    <xf numFmtId="6" fontId="0" fillId="13" borderId="76" xfId="0" applyNumberFormat="1" applyFill="1" applyBorder="1" applyAlignment="1">
      <alignment vertical="center"/>
    </xf>
    <xf numFmtId="9" fontId="0" fillId="13" borderId="76" xfId="0" applyNumberFormat="1" applyFill="1" applyBorder="1" applyAlignment="1">
      <alignment vertical="center"/>
    </xf>
    <xf numFmtId="1" fontId="2" fillId="0" borderId="89" xfId="0" applyNumberFormat="1" applyFont="1" applyBorder="1" applyAlignment="1">
      <alignment horizontal="center" vertical="center"/>
    </xf>
    <xf numFmtId="0" fontId="0" fillId="3" borderId="117" xfId="0" applyFill="1" applyBorder="1" applyAlignment="1">
      <alignment vertical="top" wrapText="1"/>
    </xf>
    <xf numFmtId="0" fontId="105" fillId="3" borderId="109" xfId="1" applyFont="1" applyFill="1" applyBorder="1" applyAlignment="1">
      <alignment wrapText="1"/>
    </xf>
    <xf numFmtId="0" fontId="90" fillId="7" borderId="80" xfId="0" applyFont="1" applyFill="1" applyBorder="1" applyAlignment="1">
      <alignment wrapText="1"/>
    </xf>
    <xf numFmtId="0" fontId="0" fillId="3" borderId="0" xfId="0" applyFill="1" applyBorder="1" applyAlignment="1">
      <alignment horizontal="left" vertical="top"/>
    </xf>
    <xf numFmtId="0" fontId="4" fillId="3" borderId="0" xfId="0" applyFont="1" applyFill="1" applyBorder="1" applyAlignment="1">
      <alignment horizontal="left" vertical="top" wrapText="1"/>
    </xf>
    <xf numFmtId="0" fontId="141" fillId="0" borderId="76" xfId="1" applyFont="1" applyBorder="1"/>
    <xf numFmtId="0" fontId="23" fillId="2" borderId="0" xfId="0" applyFont="1" applyFill="1" applyAlignment="1">
      <alignment horizontal="left" vertical="top"/>
    </xf>
    <xf numFmtId="0" fontId="24" fillId="2" borderId="202" xfId="0" applyFont="1" applyFill="1" applyBorder="1" applyAlignment="1">
      <alignment horizontal="left" vertical="top" wrapText="1"/>
    </xf>
    <xf numFmtId="0" fontId="11" fillId="2" borderId="108" xfId="0" applyFont="1" applyFill="1" applyBorder="1"/>
    <xf numFmtId="0" fontId="11" fillId="2" borderId="165" xfId="0" applyFont="1" applyFill="1" applyBorder="1"/>
    <xf numFmtId="166" fontId="14" fillId="2" borderId="0" xfId="4" applyFont="1" applyFill="1" applyBorder="1"/>
    <xf numFmtId="0" fontId="24" fillId="2" borderId="23" xfId="0" applyFont="1" applyFill="1" applyBorder="1" applyAlignment="1">
      <alignment horizontal="center" wrapText="1"/>
    </xf>
    <xf numFmtId="166" fontId="14" fillId="2" borderId="6" xfId="4" applyFont="1" applyFill="1" applyBorder="1"/>
    <xf numFmtId="0" fontId="11" fillId="3" borderId="108" xfId="0" applyFont="1" applyFill="1" applyBorder="1"/>
    <xf numFmtId="0" fontId="0" fillId="3" borderId="35" xfId="0" applyFill="1" applyBorder="1"/>
    <xf numFmtId="0" fontId="11" fillId="2" borderId="23" xfId="0" applyFont="1" applyFill="1" applyBorder="1"/>
    <xf numFmtId="165" fontId="14" fillId="2" borderId="6" xfId="4" applyNumberFormat="1" applyFont="1" applyFill="1" applyBorder="1"/>
    <xf numFmtId="166" fontId="153" fillId="2" borderId="0" xfId="4" applyFont="1" applyFill="1" applyBorder="1"/>
    <xf numFmtId="0" fontId="5" fillId="2" borderId="203" xfId="0" applyFont="1" applyFill="1" applyBorder="1" applyAlignment="1">
      <alignment horizontal="left" indent="3"/>
    </xf>
    <xf numFmtId="0" fontId="0" fillId="2" borderId="0" xfId="0" applyFill="1" applyAlignment="1">
      <alignment horizontal="left" vertical="top"/>
    </xf>
    <xf numFmtId="0" fontId="0" fillId="2" borderId="0" xfId="0" applyFill="1" applyAlignment="1">
      <alignment vertical="top"/>
    </xf>
    <xf numFmtId="166" fontId="14" fillId="2" borderId="5" xfId="4" applyFont="1" applyFill="1" applyBorder="1"/>
    <xf numFmtId="0" fontId="0" fillId="2" borderId="0" xfId="0" applyFill="1" applyAlignment="1">
      <alignment horizontal="left" vertical="top" wrapText="1"/>
    </xf>
    <xf numFmtId="166" fontId="153" fillId="13" borderId="6" xfId="4" applyFont="1" applyFill="1" applyBorder="1"/>
    <xf numFmtId="0" fontId="21" fillId="2" borderId="203" xfId="0" applyFont="1" applyFill="1" applyBorder="1" applyAlignment="1">
      <alignment horizontal="left" indent="3"/>
    </xf>
    <xf numFmtId="166" fontId="153" fillId="13" borderId="6" xfId="4" applyFont="1" applyFill="1" applyBorder="1" applyAlignment="1">
      <alignment vertical="center"/>
    </xf>
    <xf numFmtId="0" fontId="54" fillId="2" borderId="31" xfId="0" applyFont="1" applyFill="1" applyBorder="1" applyAlignment="1">
      <alignment horizontal="left" vertical="top" wrapText="1"/>
    </xf>
    <xf numFmtId="0" fontId="0" fillId="2" borderId="0" xfId="0" applyFill="1" applyAlignment="1">
      <alignment horizontal="left" vertical="center"/>
    </xf>
    <xf numFmtId="43" fontId="0" fillId="2" borderId="0" xfId="0" applyNumberFormat="1" applyFill="1" applyAlignment="1">
      <alignment horizontal="left" vertical="top"/>
    </xf>
    <xf numFmtId="43" fontId="0" fillId="2" borderId="0" xfId="5" applyFont="1" applyFill="1" applyAlignment="1">
      <alignment horizontal="left" vertical="top"/>
    </xf>
    <xf numFmtId="0" fontId="4" fillId="2" borderId="26" xfId="0" applyFont="1" applyFill="1" applyBorder="1" applyAlignment="1">
      <alignment horizontal="center"/>
    </xf>
    <xf numFmtId="0" fontId="0" fillId="2" borderId="26" xfId="0" applyFill="1" applyBorder="1" applyAlignment="1">
      <alignment horizontal="center"/>
    </xf>
    <xf numFmtId="0" fontId="154" fillId="2" borderId="26" xfId="0" applyFont="1" applyFill="1" applyBorder="1" applyAlignment="1">
      <alignment horizontal="left" vertical="center" wrapText="1"/>
    </xf>
    <xf numFmtId="0" fontId="0" fillId="5" borderId="0" xfId="0" applyFill="1" applyAlignment="1">
      <alignment horizontal="left" vertical="top"/>
    </xf>
    <xf numFmtId="0" fontId="23" fillId="5" borderId="0" xfId="0" applyFont="1" applyFill="1" applyAlignment="1">
      <alignment horizontal="left" vertical="top" wrapText="1"/>
    </xf>
    <xf numFmtId="0" fontId="7" fillId="5" borderId="26" xfId="0" applyFont="1" applyFill="1" applyBorder="1" applyAlignment="1">
      <alignment horizontal="left" vertical="center" wrapText="1"/>
    </xf>
    <xf numFmtId="0" fontId="156" fillId="2" borderId="0" xfId="0" applyFont="1" applyFill="1" applyAlignment="1">
      <alignment horizontal="left" vertical="center" wrapText="1"/>
    </xf>
    <xf numFmtId="0" fontId="157" fillId="2" borderId="0" xfId="0" applyFont="1" applyFill="1" applyAlignment="1">
      <alignment horizontal="center" wrapText="1"/>
    </xf>
    <xf numFmtId="0" fontId="138" fillId="2" borderId="35" xfId="0" applyFont="1" applyFill="1" applyBorder="1" applyAlignment="1">
      <alignment horizontal="right"/>
    </xf>
    <xf numFmtId="0" fontId="0" fillId="2" borderId="66" xfId="0" applyFill="1" applyBorder="1"/>
    <xf numFmtId="0" fontId="155" fillId="2" borderId="76" xfId="0" applyFont="1" applyFill="1" applyBorder="1" applyAlignment="1">
      <alignment horizontal="center" vertical="center" wrapText="1"/>
    </xf>
    <xf numFmtId="0" fontId="5" fillId="0" borderId="206" xfId="0" applyFont="1" applyBorder="1" applyAlignment="1">
      <alignment horizontal="left" indent="3"/>
    </xf>
    <xf numFmtId="44" fontId="14" fillId="5" borderId="0" xfId="2" applyFont="1" applyFill="1" applyBorder="1" applyAlignment="1">
      <alignment horizontal="left" vertical="center"/>
    </xf>
    <xf numFmtId="44" fontId="14" fillId="5" borderId="24" xfId="2" applyFont="1" applyFill="1" applyBorder="1" applyAlignment="1">
      <alignment horizontal="left" vertical="center"/>
    </xf>
    <xf numFmtId="166" fontId="14" fillId="2" borderId="4" xfId="4" applyFont="1" applyFill="1" applyBorder="1"/>
    <xf numFmtId="44" fontId="14" fillId="2" borderId="127" xfId="2" applyFont="1" applyFill="1" applyBorder="1" applyAlignment="1">
      <alignment horizontal="left" vertical="center"/>
    </xf>
    <xf numFmtId="0" fontId="15" fillId="2" borderId="70" xfId="0" applyFont="1" applyFill="1" applyBorder="1" applyAlignment="1">
      <alignment horizontal="left" wrapText="1"/>
    </xf>
    <xf numFmtId="0" fontId="5" fillId="2" borderId="207" xfId="0" applyFont="1" applyFill="1" applyBorder="1" applyAlignment="1">
      <alignment horizontal="left" indent="3"/>
    </xf>
    <xf numFmtId="166" fontId="153" fillId="2" borderId="208" xfId="4" applyFont="1" applyFill="1" applyBorder="1"/>
    <xf numFmtId="166" fontId="153" fillId="2" borderId="24" xfId="4" applyFont="1" applyFill="1" applyBorder="1"/>
    <xf numFmtId="0" fontId="5" fillId="2" borderId="210" xfId="0" applyFont="1" applyFill="1" applyBorder="1" applyAlignment="1">
      <alignment horizontal="left" indent="3"/>
    </xf>
    <xf numFmtId="0" fontId="4" fillId="2" borderId="43" xfId="0" applyFont="1" applyFill="1" applyBorder="1" applyAlignment="1">
      <alignment horizontal="left" indent="2"/>
    </xf>
    <xf numFmtId="0" fontId="4" fillId="2" borderId="203" xfId="0" applyFont="1" applyFill="1" applyBorder="1" applyAlignment="1">
      <alignment horizontal="left" indent="2"/>
    </xf>
    <xf numFmtId="0" fontId="4" fillId="2" borderId="207" xfId="0" applyFont="1" applyFill="1" applyBorder="1" applyAlignment="1">
      <alignment horizontal="left" indent="2"/>
    </xf>
    <xf numFmtId="0" fontId="0" fillId="2" borderId="43" xfId="0" applyFill="1" applyBorder="1"/>
    <xf numFmtId="0" fontId="4" fillId="2" borderId="178" xfId="0" applyFont="1" applyFill="1" applyBorder="1" applyAlignment="1">
      <alignment horizontal="left"/>
    </xf>
    <xf numFmtId="44" fontId="14" fillId="2" borderId="136" xfId="0" applyNumberFormat="1" applyFont="1" applyFill="1" applyBorder="1"/>
    <xf numFmtId="0" fontId="11" fillId="2" borderId="179" xfId="0" applyFont="1" applyFill="1" applyBorder="1"/>
    <xf numFmtId="0" fontId="55" fillId="2" borderId="167" xfId="0" applyFont="1" applyFill="1" applyBorder="1"/>
    <xf numFmtId="0" fontId="87" fillId="2" borderId="76" xfId="1" applyFont="1" applyFill="1" applyBorder="1" applyAlignment="1">
      <alignment vertical="center"/>
    </xf>
    <xf numFmtId="0" fontId="29" fillId="2" borderId="1" xfId="0" applyFont="1" applyFill="1" applyBorder="1" applyAlignment="1">
      <alignment vertical="center" wrapText="1"/>
    </xf>
    <xf numFmtId="0" fontId="1" fillId="2" borderId="1" xfId="1" applyFill="1" applyBorder="1" applyAlignment="1">
      <alignment vertical="center" wrapText="1"/>
    </xf>
    <xf numFmtId="0" fontId="22" fillId="2" borderId="44" xfId="0" applyFont="1" applyFill="1" applyBorder="1" applyAlignment="1">
      <alignment vertical="center"/>
    </xf>
    <xf numFmtId="0" fontId="22" fillId="2" borderId="24" xfId="0" applyFont="1" applyFill="1" applyBorder="1" applyAlignment="1">
      <alignment vertical="center"/>
    </xf>
    <xf numFmtId="0" fontId="22" fillId="2" borderId="43" xfId="0" applyFont="1" applyFill="1" applyBorder="1" applyAlignment="1">
      <alignment vertical="center"/>
    </xf>
    <xf numFmtId="0" fontId="1" fillId="2" borderId="0" xfId="1" applyFill="1" applyBorder="1"/>
    <xf numFmtId="0" fontId="61" fillId="2" borderId="57" xfId="0" applyFont="1" applyFill="1" applyBorder="1" applyAlignment="1">
      <alignment horizontal="left"/>
    </xf>
    <xf numFmtId="44" fontId="161" fillId="2" borderId="0" xfId="0" applyNumberFormat="1" applyFont="1" applyFill="1"/>
    <xf numFmtId="44" fontId="161" fillId="2" borderId="6" xfId="2" applyFont="1" applyFill="1" applyBorder="1"/>
    <xf numFmtId="44" fontId="161" fillId="0" borderId="0" xfId="0" applyNumberFormat="1" applyFont="1" applyAlignment="1">
      <alignment wrapText="1"/>
    </xf>
    <xf numFmtId="165" fontId="161" fillId="0" borderId="0" xfId="0" quotePrefix="1" applyNumberFormat="1" applyFont="1" applyAlignment="1">
      <alignment wrapText="1"/>
    </xf>
    <xf numFmtId="0" fontId="0" fillId="2" borderId="38" xfId="0" applyFill="1" applyBorder="1" applyAlignment="1">
      <alignment horizontal="left" wrapText="1"/>
    </xf>
    <xf numFmtId="0" fontId="4" fillId="2" borderId="38" xfId="0" applyFont="1" applyFill="1" applyBorder="1" applyAlignment="1">
      <alignment wrapText="1"/>
    </xf>
    <xf numFmtId="0" fontId="2" fillId="0" borderId="38" xfId="0" applyFont="1" applyBorder="1" applyAlignment="1">
      <alignment horizontal="center" vertical="center"/>
    </xf>
    <xf numFmtId="0" fontId="2" fillId="5" borderId="23" xfId="0" applyFont="1" applyFill="1" applyBorder="1" applyAlignment="1">
      <alignment horizontal="center" vertical="center"/>
    </xf>
    <xf numFmtId="0" fontId="2" fillId="0" borderId="36" xfId="0" applyNumberFormat="1" applyFont="1" applyBorder="1" applyAlignment="1">
      <alignment horizontal="center" vertical="center"/>
    </xf>
    <xf numFmtId="0" fontId="108" fillId="2" borderId="81" xfId="0" applyFont="1" applyFill="1" applyBorder="1" applyAlignment="1">
      <alignment horizontal="center" vertical="center"/>
    </xf>
    <xf numFmtId="0" fontId="141" fillId="2" borderId="144" xfId="1" applyFont="1" applyFill="1" applyBorder="1" applyAlignment="1">
      <alignment vertical="center"/>
    </xf>
    <xf numFmtId="0" fontId="141" fillId="2" borderId="212" xfId="1" applyFont="1" applyFill="1" applyBorder="1" applyAlignment="1">
      <alignment vertical="center"/>
    </xf>
    <xf numFmtId="0" fontId="141" fillId="0" borderId="76" xfId="1" applyFont="1" applyFill="1" applyBorder="1"/>
    <xf numFmtId="0" fontId="2" fillId="3" borderId="0" xfId="0" applyFont="1" applyFill="1" applyAlignment="1">
      <alignment horizontal="left" vertical="top"/>
    </xf>
    <xf numFmtId="0" fontId="2" fillId="2" borderId="0" xfId="0" applyFont="1" applyFill="1" applyAlignment="1">
      <alignment vertical="center" wrapText="1"/>
    </xf>
    <xf numFmtId="0" fontId="11" fillId="2" borderId="56" xfId="0" applyFont="1" applyFill="1" applyBorder="1" applyAlignment="1">
      <alignment horizontal="center" vertical="center" wrapText="1"/>
    </xf>
    <xf numFmtId="9" fontId="2" fillId="13" borderId="23" xfId="2" applyNumberFormat="1" applyFont="1" applyFill="1" applyBorder="1" applyAlignment="1">
      <alignment horizontal="right" vertical="center"/>
    </xf>
    <xf numFmtId="0" fontId="0" fillId="3" borderId="114" xfId="0" applyFill="1" applyBorder="1" applyAlignment="1">
      <alignment horizontal="left" vertical="top" wrapText="1"/>
    </xf>
    <xf numFmtId="0" fontId="22" fillId="2" borderId="0" xfId="0" applyFont="1" applyFill="1" applyAlignment="1">
      <alignment horizontal="left" vertical="center"/>
    </xf>
    <xf numFmtId="0" fontId="4" fillId="2" borderId="0" xfId="0" applyFont="1" applyFill="1" applyAlignment="1">
      <alignment horizontal="left" vertical="center"/>
    </xf>
    <xf numFmtId="0" fontId="113" fillId="2" borderId="0" xfId="0" applyFont="1" applyFill="1" applyAlignment="1">
      <alignment horizontal="center" vertical="top" wrapText="1"/>
    </xf>
    <xf numFmtId="0" fontId="4" fillId="2" borderId="0" xfId="0" applyFont="1" applyFill="1" applyAlignment="1">
      <alignment horizontal="left" vertical="top"/>
    </xf>
    <xf numFmtId="0" fontId="4" fillId="2" borderId="26" xfId="0" applyFont="1" applyFill="1" applyBorder="1" applyAlignment="1">
      <alignment horizontal="left" vertical="top"/>
    </xf>
    <xf numFmtId="0" fontId="25" fillId="2" borderId="0" xfId="0" applyFont="1" applyFill="1" applyAlignment="1">
      <alignment horizontal="left" wrapText="1"/>
    </xf>
    <xf numFmtId="0" fontId="2" fillId="13" borderId="7" xfId="0" applyFont="1" applyFill="1" applyBorder="1" applyAlignment="1">
      <alignment vertical="center"/>
    </xf>
    <xf numFmtId="0" fontId="11" fillId="2" borderId="0" xfId="0" applyFont="1" applyFill="1" applyAlignment="1">
      <alignment horizontal="center" vertical="center" wrapText="1"/>
    </xf>
    <xf numFmtId="9" fontId="2" fillId="5" borderId="0" xfId="3" applyFont="1" applyFill="1" applyBorder="1" applyAlignment="1">
      <alignment horizontal="left" vertical="center"/>
    </xf>
    <xf numFmtId="0" fontId="2" fillId="2" borderId="7" xfId="0" applyFont="1" applyFill="1" applyBorder="1" applyAlignment="1">
      <alignment vertical="center"/>
    </xf>
    <xf numFmtId="0" fontId="23" fillId="5" borderId="0" xfId="0" applyFont="1" applyFill="1" applyAlignment="1">
      <alignment horizontal="left" vertical="center" wrapText="1"/>
    </xf>
    <xf numFmtId="0" fontId="4" fillId="3" borderId="0" xfId="0" applyFont="1" applyFill="1" applyAlignment="1">
      <alignment horizontal="left" vertical="top" wrapText="1"/>
    </xf>
    <xf numFmtId="0" fontId="0" fillId="3" borderId="114" xfId="0" applyFill="1" applyBorder="1" applyAlignment="1">
      <alignment horizontal="left" vertical="top"/>
    </xf>
    <xf numFmtId="0" fontId="0" fillId="3" borderId="0" xfId="0" applyFill="1" applyAlignment="1">
      <alignment horizontal="left" vertical="top"/>
    </xf>
    <xf numFmtId="0" fontId="0" fillId="2" borderId="0" xfId="0" applyFill="1" applyAlignment="1">
      <alignment horizontal="center" vertical="center" wrapText="1"/>
    </xf>
    <xf numFmtId="0" fontId="4" fillId="2" borderId="35" xfId="0" applyFont="1" applyFill="1" applyBorder="1" applyAlignment="1">
      <alignment horizontal="left" vertical="center"/>
    </xf>
    <xf numFmtId="0" fontId="4" fillId="2" borderId="26" xfId="0" applyFont="1" applyFill="1" applyBorder="1" applyAlignment="1">
      <alignment horizontal="left" vertical="center"/>
    </xf>
    <xf numFmtId="0" fontId="2" fillId="3" borderId="114" xfId="0" applyFont="1" applyFill="1" applyBorder="1" applyAlignment="1">
      <alignment horizontal="left" vertical="top"/>
    </xf>
    <xf numFmtId="0" fontId="55" fillId="2" borderId="0" xfId="0" applyFont="1" applyFill="1" applyAlignment="1">
      <alignment horizontal="left" vertical="center"/>
    </xf>
    <xf numFmtId="0" fontId="2" fillId="3" borderId="0" xfId="0" applyFont="1" applyFill="1" applyAlignment="1">
      <alignment horizontal="left" vertical="top"/>
    </xf>
    <xf numFmtId="0" fontId="2" fillId="3" borderId="114" xfId="0" applyFont="1" applyFill="1" applyBorder="1" applyAlignment="1">
      <alignment horizontal="left" vertical="top"/>
    </xf>
    <xf numFmtId="0" fontId="55" fillId="3" borderId="26" xfId="0" applyFont="1" applyFill="1" applyBorder="1" applyAlignment="1">
      <alignment horizontal="left" vertical="top" wrapText="1"/>
    </xf>
    <xf numFmtId="165" fontId="19" fillId="2" borderId="11" xfId="0" applyNumberFormat="1" applyFont="1" applyFill="1" applyBorder="1" applyAlignment="1">
      <alignment horizontal="center"/>
    </xf>
    <xf numFmtId="44" fontId="19" fillId="2" borderId="11" xfId="0" applyNumberFormat="1" applyFont="1" applyFill="1" applyBorder="1" applyAlignment="1">
      <alignment horizontal="center"/>
    </xf>
    <xf numFmtId="165" fontId="19" fillId="2" borderId="12" xfId="0" applyNumberFormat="1" applyFont="1" applyFill="1" applyBorder="1" applyAlignment="1">
      <alignment horizontal="center"/>
    </xf>
    <xf numFmtId="44" fontId="19" fillId="2" borderId="12" xfId="0" applyNumberFormat="1" applyFont="1" applyFill="1" applyBorder="1" applyAlignment="1">
      <alignment horizontal="center"/>
    </xf>
    <xf numFmtId="0" fontId="11" fillId="2" borderId="215" xfId="0" applyFont="1" applyFill="1" applyBorder="1"/>
    <xf numFmtId="165" fontId="0" fillId="2" borderId="5" xfId="0" applyNumberFormat="1" applyFill="1" applyBorder="1" applyAlignment="1">
      <alignment horizontal="left"/>
    </xf>
    <xf numFmtId="44" fontId="0" fillId="2" borderId="5" xfId="0" applyNumberFormat="1" applyFill="1" applyBorder="1" applyAlignment="1">
      <alignment horizontal="left"/>
    </xf>
    <xf numFmtId="0" fontId="12" fillId="2" borderId="53" xfId="0" applyFont="1" applyFill="1" applyBorder="1"/>
    <xf numFmtId="0" fontId="15" fillId="2" borderId="81" xfId="0" applyFont="1" applyFill="1" applyBorder="1" applyAlignment="1">
      <alignment horizontal="right" wrapText="1"/>
    </xf>
    <xf numFmtId="165" fontId="60" fillId="2" borderId="128" xfId="0" applyNumberFormat="1" applyFont="1" applyFill="1" applyBorder="1" applyAlignment="1">
      <alignment vertical="center"/>
    </xf>
    <xf numFmtId="44" fontId="60" fillId="2" borderId="128" xfId="0" applyNumberFormat="1" applyFont="1" applyFill="1" applyBorder="1" applyAlignment="1">
      <alignment vertical="center"/>
    </xf>
    <xf numFmtId="0" fontId="5" fillId="2" borderId="101" xfId="0" applyFont="1" applyFill="1" applyBorder="1" applyAlignment="1">
      <alignment horizontal="left" vertical="center" indent="3"/>
    </xf>
    <xf numFmtId="165" fontId="11" fillId="2" borderId="5" xfId="0" applyNumberFormat="1" applyFont="1" applyFill="1" applyBorder="1"/>
    <xf numFmtId="44" fontId="11" fillId="2" borderId="5" xfId="0" applyNumberFormat="1" applyFont="1" applyFill="1" applyBorder="1"/>
    <xf numFmtId="0" fontId="11" fillId="2" borderId="0" xfId="0" applyFont="1" applyFill="1"/>
    <xf numFmtId="44" fontId="14" fillId="2" borderId="24" xfId="0" applyNumberFormat="1" applyFont="1" applyFill="1" applyBorder="1"/>
    <xf numFmtId="44" fontId="14" fillId="2" borderId="69" xfId="0" applyNumberFormat="1" applyFont="1" applyFill="1" applyBorder="1"/>
    <xf numFmtId="44" fontId="14" fillId="2" borderId="14" xfId="0" applyNumberFormat="1" applyFont="1" applyFill="1" applyBorder="1"/>
    <xf numFmtId="44" fontId="14" fillId="2" borderId="14" xfId="2" applyFont="1" applyFill="1" applyBorder="1" applyAlignment="1"/>
    <xf numFmtId="165" fontId="14" fillId="2" borderId="6" xfId="0" applyNumberFormat="1" applyFont="1" applyFill="1" applyBorder="1"/>
    <xf numFmtId="0" fontId="0" fillId="2" borderId="0" xfId="0" applyFill="1" applyAlignment="1">
      <alignment horizontal="left" indent="3"/>
    </xf>
    <xf numFmtId="44" fontId="11" fillId="2" borderId="5" xfId="0" applyNumberFormat="1" applyFont="1" applyFill="1" applyBorder="1" applyAlignment="1">
      <alignment horizontal="right" indent="3"/>
    </xf>
    <xf numFmtId="0" fontId="60" fillId="2" borderId="0" xfId="0" applyFont="1" applyFill="1" applyAlignment="1">
      <alignment horizontal="right" indent="3"/>
    </xf>
    <xf numFmtId="44" fontId="14" fillId="2" borderId="24" xfId="2" applyFont="1" applyFill="1" applyBorder="1" applyAlignment="1">
      <alignment horizontal="right" indent="3"/>
    </xf>
    <xf numFmtId="0" fontId="5" fillId="2" borderId="43" xfId="0" applyFont="1" applyFill="1" applyBorder="1" applyAlignment="1">
      <alignment horizontal="left" indent="3"/>
    </xf>
    <xf numFmtId="44" fontId="14" fillId="2" borderId="128" xfId="2" applyFont="1" applyFill="1" applyBorder="1" applyAlignment="1">
      <alignment horizontal="right" indent="3"/>
    </xf>
    <xf numFmtId="44" fontId="14" fillId="2" borderId="24" xfId="2" applyFont="1" applyFill="1" applyBorder="1" applyAlignment="1">
      <alignment horizontal="center"/>
    </xf>
    <xf numFmtId="44" fontId="14" fillId="2" borderId="69" xfId="2" applyFont="1" applyFill="1" applyBorder="1" applyAlignment="1">
      <alignment horizontal="center"/>
    </xf>
    <xf numFmtId="44" fontId="14" fillId="2" borderId="128" xfId="2" applyFont="1" applyFill="1" applyBorder="1" applyAlignment="1">
      <alignment horizontal="center"/>
    </xf>
    <xf numFmtId="0" fontId="0" fillId="2" borderId="49" xfId="0" applyFill="1" applyBorder="1"/>
    <xf numFmtId="0" fontId="57" fillId="2" borderId="101" xfId="0" applyFont="1" applyFill="1" applyBorder="1" applyAlignment="1">
      <alignment horizontal="left" indent="1"/>
    </xf>
    <xf numFmtId="0" fontId="23" fillId="0" borderId="0" xfId="0" applyFont="1" applyAlignment="1">
      <alignment vertical="center" wrapText="1"/>
    </xf>
    <xf numFmtId="0" fontId="5" fillId="0" borderId="43" xfId="0" applyFont="1" applyBorder="1" applyAlignment="1">
      <alignment horizontal="left" indent="3"/>
    </xf>
    <xf numFmtId="0" fontId="15" fillId="2" borderId="106" xfId="0" applyFont="1" applyFill="1" applyBorder="1" applyAlignment="1">
      <alignment horizontal="right"/>
    </xf>
    <xf numFmtId="44" fontId="14" fillId="2" borderId="69" xfId="2" applyFont="1" applyFill="1" applyBorder="1" applyAlignment="1">
      <alignment horizontal="right" indent="3"/>
    </xf>
    <xf numFmtId="0" fontId="5" fillId="0" borderId="68" xfId="0" applyFont="1" applyBorder="1" applyAlignment="1">
      <alignment horizontal="left" wrapText="1" indent="3"/>
    </xf>
    <xf numFmtId="0" fontId="15" fillId="2" borderId="30" xfId="0" applyFont="1" applyFill="1" applyBorder="1" applyAlignment="1">
      <alignment horizontal="right"/>
    </xf>
    <xf numFmtId="44" fontId="14" fillId="2" borderId="0" xfId="2" applyFont="1" applyFill="1" applyBorder="1" applyAlignment="1">
      <alignment horizontal="right"/>
    </xf>
    <xf numFmtId="44" fontId="14" fillId="2" borderId="6" xfId="2" applyFont="1" applyFill="1" applyBorder="1" applyAlignment="1">
      <alignment horizontal="right" indent="3"/>
    </xf>
    <xf numFmtId="0" fontId="11" fillId="2" borderId="0" xfId="0" applyFont="1" applyFill="1" applyAlignment="1">
      <alignment horizontal="right"/>
    </xf>
    <xf numFmtId="0" fontId="57" fillId="2" borderId="49" xfId="0" applyFont="1" applyFill="1" applyBorder="1" applyAlignment="1">
      <alignment horizontal="left" indent="1"/>
    </xf>
    <xf numFmtId="0" fontId="14" fillId="0" borderId="81" xfId="0" applyFont="1" applyBorder="1" applyAlignment="1">
      <alignment horizontal="right"/>
    </xf>
    <xf numFmtId="0" fontId="11" fillId="2" borderId="128" xfId="0" applyFont="1" applyFill="1" applyBorder="1" applyAlignment="1">
      <alignment horizontal="right"/>
    </xf>
    <xf numFmtId="0" fontId="5" fillId="0" borderId="101" xfId="0" applyFont="1" applyBorder="1" applyAlignment="1">
      <alignment horizontal="left" indent="3"/>
    </xf>
    <xf numFmtId="0" fontId="14" fillId="2" borderId="81" xfId="0" applyFont="1" applyFill="1" applyBorder="1" applyAlignment="1">
      <alignment horizontal="right"/>
    </xf>
    <xf numFmtId="0" fontId="14" fillId="2" borderId="44" xfId="0" applyFont="1" applyFill="1" applyBorder="1" applyAlignment="1">
      <alignment horizontal="right"/>
    </xf>
    <xf numFmtId="0" fontId="11" fillId="2" borderId="24" xfId="0" applyFont="1" applyFill="1" applyBorder="1" applyAlignment="1">
      <alignment horizontal="right"/>
    </xf>
    <xf numFmtId="0" fontId="95" fillId="2" borderId="26" xfId="0" applyFont="1" applyFill="1" applyBorder="1" applyAlignment="1">
      <alignment horizontal="center" vertical="center"/>
    </xf>
    <xf numFmtId="0" fontId="95" fillId="2" borderId="0" xfId="0" applyFont="1" applyFill="1" applyAlignment="1">
      <alignment horizontal="center" vertical="center"/>
    </xf>
    <xf numFmtId="0" fontId="5" fillId="2" borderId="216" xfId="0" applyFont="1" applyFill="1" applyBorder="1" applyAlignment="1">
      <alignment horizontal="center" vertical="center"/>
    </xf>
    <xf numFmtId="9" fontId="0" fillId="2" borderId="217" xfId="3" applyFont="1" applyFill="1" applyBorder="1" applyAlignment="1">
      <alignment vertical="center"/>
    </xf>
    <xf numFmtId="9" fontId="0" fillId="2" borderId="218" xfId="3" applyFont="1" applyFill="1" applyBorder="1" applyAlignment="1">
      <alignment vertical="center"/>
    </xf>
    <xf numFmtId="44" fontId="0" fillId="2" borderId="0" xfId="0" applyNumberFormat="1" applyFill="1" applyAlignment="1">
      <alignment horizontal="right" vertical="center"/>
    </xf>
    <xf numFmtId="44" fontId="0" fillId="2" borderId="35" xfId="0" applyNumberFormat="1" applyFill="1" applyBorder="1" applyAlignment="1">
      <alignment horizontal="right" vertical="center"/>
    </xf>
    <xf numFmtId="0" fontId="2" fillId="2" borderId="0" xfId="0" applyFont="1" applyFill="1" applyAlignment="1">
      <alignment horizontal="right" vertical="center"/>
    </xf>
    <xf numFmtId="9" fontId="2" fillId="13" borderId="76" xfId="3" applyFont="1" applyFill="1" applyBorder="1" applyAlignment="1">
      <alignment horizontal="right" vertical="center"/>
    </xf>
    <xf numFmtId="9" fontId="2" fillId="13" borderId="76" xfId="2" applyNumberFormat="1" applyFont="1" applyFill="1" applyBorder="1" applyAlignment="1">
      <alignment horizontal="right"/>
    </xf>
    <xf numFmtId="9" fontId="2" fillId="13" borderId="76" xfId="2" applyNumberFormat="1" applyFont="1" applyFill="1" applyBorder="1" applyAlignment="1">
      <alignment horizontal="right" vertical="center"/>
    </xf>
    <xf numFmtId="165" fontId="2" fillId="13" borderId="76" xfId="2" applyNumberFormat="1" applyFont="1" applyFill="1" applyBorder="1" applyAlignment="1">
      <alignment horizontal="center" vertical="center"/>
    </xf>
    <xf numFmtId="165" fontId="2" fillId="13" borderId="76" xfId="2" applyNumberFormat="1" applyFont="1" applyFill="1" applyBorder="1" applyAlignment="1">
      <alignment horizontal="center"/>
    </xf>
    <xf numFmtId="0" fontId="2" fillId="0" borderId="76" xfId="0" applyFont="1" applyBorder="1" applyAlignment="1">
      <alignment horizontal="right" vertical="center"/>
    </xf>
    <xf numFmtId="0" fontId="2" fillId="2" borderId="76" xfId="0" applyFont="1" applyFill="1" applyBorder="1" applyAlignment="1">
      <alignment horizontal="right"/>
    </xf>
    <xf numFmtId="0" fontId="11" fillId="0" borderId="76" xfId="0" applyFont="1" applyBorder="1" applyAlignment="1">
      <alignment horizontal="center" vertical="center" wrapText="1"/>
    </xf>
    <xf numFmtId="0" fontId="11" fillId="2" borderId="76" xfId="0" applyFont="1" applyFill="1" applyBorder="1" applyAlignment="1">
      <alignment horizontal="center" wrapText="1"/>
    </xf>
    <xf numFmtId="0" fontId="2" fillId="2" borderId="0" xfId="0" applyFont="1" applyFill="1" applyAlignment="1">
      <alignment horizontal="center" vertical="center"/>
    </xf>
    <xf numFmtId="0" fontId="2" fillId="0" borderId="0" xfId="0" applyFont="1" applyAlignment="1">
      <alignment horizontal="center" vertical="center"/>
    </xf>
    <xf numFmtId="0" fontId="2" fillId="0" borderId="39" xfId="0" applyFont="1" applyBorder="1" applyAlignment="1">
      <alignment horizontal="center" vertical="center"/>
    </xf>
    <xf numFmtId="1" fontId="2" fillId="0" borderId="77" xfId="0" applyNumberFormat="1" applyFont="1" applyBorder="1" applyAlignment="1">
      <alignment horizontal="center" vertical="center"/>
    </xf>
    <xf numFmtId="0" fontId="54" fillId="2" borderId="26" xfId="0" applyFont="1" applyFill="1" applyBorder="1" applyAlignment="1">
      <alignment vertical="center" wrapText="1"/>
    </xf>
    <xf numFmtId="1" fontId="2" fillId="2" borderId="0" xfId="0" applyNumberFormat="1" applyFont="1" applyFill="1" applyAlignment="1">
      <alignment horizontal="center" vertical="center"/>
    </xf>
    <xf numFmtId="0" fontId="168" fillId="2" borderId="0" xfId="0" applyFont="1" applyFill="1" applyAlignment="1">
      <alignment horizontal="center" wrapText="1"/>
    </xf>
    <xf numFmtId="0" fontId="141" fillId="2" borderId="125" xfId="1" applyFont="1" applyFill="1" applyBorder="1" applyAlignment="1">
      <alignment vertical="center"/>
    </xf>
    <xf numFmtId="0" fontId="141" fillId="0" borderId="7" xfId="1" applyFont="1" applyFill="1" applyBorder="1"/>
    <xf numFmtId="0" fontId="0" fillId="2" borderId="6" xfId="0" applyFill="1" applyBorder="1"/>
    <xf numFmtId="0" fontId="55" fillId="2" borderId="23" xfId="0" applyFont="1" applyFill="1" applyBorder="1"/>
    <xf numFmtId="0" fontId="15" fillId="2" borderId="23" xfId="0" applyFont="1" applyFill="1" applyBorder="1" applyAlignment="1">
      <alignment horizontal="right"/>
    </xf>
    <xf numFmtId="0" fontId="156" fillId="2" borderId="108" xfId="0" applyFont="1" applyFill="1" applyBorder="1" applyAlignment="1">
      <alignment horizontal="left" vertical="center" wrapText="1"/>
    </xf>
    <xf numFmtId="0" fontId="156" fillId="2" borderId="163" xfId="0" applyFont="1" applyFill="1" applyBorder="1" applyAlignment="1">
      <alignment horizontal="left" vertical="center" wrapText="1"/>
    </xf>
    <xf numFmtId="0" fontId="15" fillId="2" borderId="44" xfId="0" applyFont="1" applyFill="1" applyBorder="1" applyAlignment="1">
      <alignment horizontal="right" wrapText="1"/>
    </xf>
    <xf numFmtId="0" fontId="5" fillId="2" borderId="219" xfId="0" applyFont="1" applyFill="1" applyBorder="1" applyAlignment="1">
      <alignment horizontal="left" indent="3"/>
    </xf>
    <xf numFmtId="0" fontId="156" fillId="2" borderId="220" xfId="0" applyFont="1" applyFill="1" applyBorder="1" applyAlignment="1">
      <alignment horizontal="left" vertical="center" wrapText="1"/>
    </xf>
    <xf numFmtId="166" fontId="153" fillId="2" borderId="221" xfId="4" applyFont="1" applyFill="1" applyBorder="1"/>
    <xf numFmtId="0" fontId="156" fillId="2" borderId="209" xfId="0" applyFont="1" applyFill="1" applyBorder="1" applyAlignment="1">
      <alignment horizontal="left" vertical="center" wrapText="1"/>
    </xf>
    <xf numFmtId="166" fontId="153" fillId="2" borderId="128" xfId="4" applyFont="1" applyFill="1" applyBorder="1"/>
    <xf numFmtId="0" fontId="156" fillId="2" borderId="211" xfId="0" applyFont="1" applyFill="1" applyBorder="1" applyAlignment="1">
      <alignment horizontal="left" vertical="center" wrapText="1"/>
    </xf>
    <xf numFmtId="0" fontId="156" fillId="2" borderId="222" xfId="0" applyFont="1" applyFill="1" applyBorder="1" applyAlignment="1">
      <alignment horizontal="left" vertical="center" wrapText="1"/>
    </xf>
    <xf numFmtId="0" fontId="5" fillId="2" borderId="223" xfId="0" applyFont="1" applyFill="1" applyBorder="1" applyAlignment="1">
      <alignment horizontal="left" indent="3"/>
    </xf>
    <xf numFmtId="0" fontId="156" fillId="2" borderId="81" xfId="0" applyFont="1" applyFill="1" applyBorder="1" applyAlignment="1">
      <alignment horizontal="left" vertical="center" wrapText="1"/>
    </xf>
    <xf numFmtId="0" fontId="55" fillId="2" borderId="44" xfId="0" applyFont="1" applyFill="1" applyBorder="1"/>
    <xf numFmtId="0" fontId="55" fillId="3" borderId="108" xfId="0" applyFont="1" applyFill="1" applyBorder="1"/>
    <xf numFmtId="0" fontId="55" fillId="2" borderId="108" xfId="0" applyFont="1" applyFill="1" applyBorder="1"/>
    <xf numFmtId="0" fontId="55" fillId="2" borderId="165" xfId="0" applyFont="1" applyFill="1" applyBorder="1"/>
    <xf numFmtId="0" fontId="15" fillId="2" borderId="204" xfId="0" applyFont="1" applyFill="1" applyBorder="1" applyAlignment="1">
      <alignment horizontal="right" wrapText="1"/>
    </xf>
    <xf numFmtId="0" fontId="15" fillId="2" borderId="205" xfId="0" applyFont="1" applyFill="1" applyBorder="1" applyAlignment="1">
      <alignment horizontal="right" wrapText="1"/>
    </xf>
    <xf numFmtId="0" fontId="2" fillId="3" borderId="26" xfId="0" applyFont="1" applyFill="1" applyBorder="1"/>
    <xf numFmtId="0" fontId="55" fillId="2" borderId="53" xfId="0" applyFont="1" applyFill="1" applyBorder="1"/>
    <xf numFmtId="0" fontId="138" fillId="2" borderId="0" xfId="0" applyFont="1" applyFill="1" applyAlignment="1">
      <alignment horizontal="right"/>
    </xf>
    <xf numFmtId="0" fontId="169" fillId="2" borderId="26" xfId="0" applyFont="1" applyFill="1" applyBorder="1" applyAlignment="1">
      <alignment vertical="center" wrapText="1"/>
    </xf>
    <xf numFmtId="0" fontId="16" fillId="0" borderId="0" xfId="0" applyFont="1" applyFill="1" applyAlignment="1">
      <alignment horizontal="right" vertical="center"/>
    </xf>
    <xf numFmtId="0" fontId="2" fillId="0" borderId="36" xfId="0" applyFont="1" applyFill="1" applyBorder="1" applyAlignment="1">
      <alignment horizontal="center" vertical="center"/>
    </xf>
    <xf numFmtId="0" fontId="23" fillId="0" borderId="0" xfId="0" applyFont="1" applyFill="1" applyAlignment="1">
      <alignment vertical="center"/>
    </xf>
    <xf numFmtId="0" fontId="0" fillId="0" borderId="0" xfId="0" applyFill="1" applyAlignment="1">
      <alignment vertical="center"/>
    </xf>
    <xf numFmtId="0" fontId="2" fillId="3" borderId="0" xfId="0" applyFont="1" applyFill="1" applyAlignment="1">
      <alignment horizontal="left" vertical="top"/>
    </xf>
    <xf numFmtId="0" fontId="23" fillId="2" borderId="0" xfId="0" applyFont="1" applyFill="1" applyAlignment="1">
      <alignment horizontal="left" vertical="top" wrapText="1"/>
    </xf>
    <xf numFmtId="0" fontId="2" fillId="3" borderId="114" xfId="0" applyFont="1" applyFill="1" applyBorder="1" applyAlignment="1">
      <alignment horizontal="left" vertical="top"/>
    </xf>
    <xf numFmtId="0" fontId="170" fillId="2" borderId="0" xfId="0" applyFont="1" applyFill="1" applyAlignment="1">
      <alignment horizontal="left" vertical="top" wrapText="1"/>
    </xf>
    <xf numFmtId="0" fontId="48" fillId="2" borderId="195" xfId="0" applyFont="1" applyFill="1" applyBorder="1" applyAlignment="1">
      <alignment vertical="center" wrapText="1"/>
    </xf>
    <xf numFmtId="0" fontId="48" fillId="2" borderId="195" xfId="0" applyFont="1" applyFill="1" applyBorder="1" applyAlignment="1">
      <alignment vertical="center" wrapText="1"/>
    </xf>
    <xf numFmtId="0" fontId="48" fillId="2" borderId="195" xfId="0" applyFont="1" applyFill="1" applyBorder="1" applyAlignment="1">
      <alignment vertical="center" wrapText="1"/>
    </xf>
    <xf numFmtId="0" fontId="48" fillId="2" borderId="195" xfId="0" applyFont="1" applyFill="1" applyBorder="1" applyAlignment="1">
      <alignment vertical="center" wrapText="1"/>
    </xf>
    <xf numFmtId="0" fontId="29" fillId="2" borderId="195" xfId="0" applyFont="1" applyFill="1" applyBorder="1" applyAlignment="1">
      <alignment vertical="center" wrapText="1"/>
    </xf>
    <xf numFmtId="0" fontId="120" fillId="2" borderId="76" xfId="0" applyFont="1" applyFill="1" applyBorder="1" applyAlignment="1">
      <alignment horizontal="center" vertical="center"/>
    </xf>
    <xf numFmtId="0" fontId="142" fillId="2" borderId="0" xfId="0" applyFont="1" applyFill="1" applyAlignment="1">
      <alignment horizontal="left" vertical="top"/>
    </xf>
    <xf numFmtId="0" fontId="139" fillId="2" borderId="0" xfId="0" applyFont="1" applyFill="1" applyAlignment="1">
      <alignment horizontal="left" vertical="top"/>
    </xf>
    <xf numFmtId="0" fontId="117" fillId="11" borderId="0" xfId="0" applyFont="1" applyFill="1" applyAlignment="1">
      <alignment vertical="center"/>
    </xf>
    <xf numFmtId="0" fontId="143" fillId="2" borderId="0" xfId="0" applyFont="1" applyFill="1" applyAlignment="1">
      <alignment horizontal="left" vertical="center"/>
    </xf>
    <xf numFmtId="0" fontId="143" fillId="2" borderId="10" xfId="0" applyFont="1" applyFill="1" applyBorder="1" applyAlignment="1">
      <alignment horizontal="left" vertical="center"/>
    </xf>
    <xf numFmtId="0" fontId="43" fillId="11" borderId="197" xfId="0" applyFont="1" applyFill="1" applyBorder="1" applyAlignment="1">
      <alignment horizontal="left" vertical="center"/>
    </xf>
    <xf numFmtId="0" fontId="145" fillId="2" borderId="0" xfId="0" applyFont="1" applyFill="1" applyAlignment="1">
      <alignment wrapText="1"/>
    </xf>
    <xf numFmtId="0" fontId="41" fillId="10" borderId="16" xfId="0" applyFont="1" applyFill="1" applyBorder="1" applyAlignment="1">
      <alignment horizontal="left" vertical="top" wrapText="1" indent="2"/>
    </xf>
    <xf numFmtId="0" fontId="41" fillId="10" borderId="5" xfId="0" applyFont="1" applyFill="1" applyBorder="1" applyAlignment="1">
      <alignment horizontal="left" vertical="top" wrapText="1" indent="2"/>
    </xf>
    <xf numFmtId="0" fontId="41" fillId="10" borderId="15" xfId="0" applyFont="1" applyFill="1" applyBorder="1" applyAlignment="1">
      <alignment horizontal="left" vertical="top" wrapText="1" indent="2"/>
    </xf>
    <xf numFmtId="0" fontId="38" fillId="2" borderId="0" xfId="1" applyFont="1" applyFill="1" applyAlignment="1">
      <alignment horizontal="left" vertical="center" wrapText="1"/>
    </xf>
    <xf numFmtId="0" fontId="43" fillId="11" borderId="0" xfId="0" applyFont="1" applyFill="1" applyAlignment="1">
      <alignment horizontal="left" vertical="center" wrapText="1"/>
    </xf>
    <xf numFmtId="0" fontId="43" fillId="11" borderId="2" xfId="0" applyFont="1" applyFill="1" applyBorder="1" applyAlignment="1">
      <alignment horizontal="left" vertical="center" wrapText="1"/>
    </xf>
    <xf numFmtId="0" fontId="129" fillId="9" borderId="1" xfId="0" applyFont="1" applyFill="1" applyBorder="1" applyAlignment="1">
      <alignment horizontal="left" vertical="center" wrapText="1"/>
    </xf>
    <xf numFmtId="0" fontId="127" fillId="9" borderId="1" xfId="0" applyFont="1" applyFill="1" applyBorder="1" applyAlignment="1">
      <alignment horizontal="left" vertical="center" wrapText="1"/>
    </xf>
    <xf numFmtId="0" fontId="41" fillId="10" borderId="16" xfId="0" applyFont="1" applyFill="1" applyBorder="1" applyAlignment="1">
      <alignment horizontal="left" vertical="center" wrapText="1" indent="2"/>
    </xf>
    <xf numFmtId="0" fontId="41" fillId="10" borderId="5" xfId="0" applyFont="1" applyFill="1" applyBorder="1" applyAlignment="1">
      <alignment horizontal="left" vertical="center" wrapText="1" indent="2"/>
    </xf>
    <xf numFmtId="0" fontId="41" fillId="10" borderId="15" xfId="0" applyFont="1" applyFill="1" applyBorder="1" applyAlignment="1">
      <alignment horizontal="left" vertical="center" wrapText="1" indent="2"/>
    </xf>
    <xf numFmtId="0" fontId="29" fillId="2" borderId="0" xfId="0" applyFont="1" applyFill="1" applyAlignment="1">
      <alignment horizontal="left" vertical="center" wrapText="1"/>
    </xf>
    <xf numFmtId="0" fontId="29" fillId="2" borderId="2" xfId="0" applyFont="1" applyFill="1" applyBorder="1" applyAlignment="1">
      <alignment horizontal="left" vertical="center" wrapText="1"/>
    </xf>
    <xf numFmtId="0" fontId="127" fillId="9" borderId="16" xfId="0" applyFont="1" applyFill="1" applyBorder="1" applyAlignment="1">
      <alignment horizontal="left" vertical="center" wrapText="1"/>
    </xf>
    <xf numFmtId="0" fontId="127" fillId="9" borderId="5" xfId="0" applyFont="1" applyFill="1" applyBorder="1" applyAlignment="1">
      <alignment horizontal="left" vertical="center" wrapText="1"/>
    </xf>
    <xf numFmtId="0" fontId="127" fillId="9" borderId="15" xfId="0" applyFont="1" applyFill="1" applyBorder="1" applyAlignment="1">
      <alignment horizontal="left" vertical="center" wrapText="1"/>
    </xf>
    <xf numFmtId="0" fontId="106" fillId="3" borderId="3" xfId="0" applyFont="1" applyFill="1" applyBorder="1" applyAlignment="1">
      <alignment horizontal="left" wrapText="1"/>
    </xf>
    <xf numFmtId="0" fontId="106" fillId="3" borderId="0" xfId="0" applyFont="1" applyFill="1" applyAlignment="1">
      <alignment horizontal="left" wrapText="1"/>
    </xf>
    <xf numFmtId="0" fontId="2" fillId="3" borderId="3" xfId="0" applyFont="1" applyFill="1" applyBorder="1" applyAlignment="1">
      <alignment horizontal="left" vertical="top"/>
    </xf>
    <xf numFmtId="0" fontId="2" fillId="3" borderId="0" xfId="0" applyFont="1" applyFill="1" applyAlignment="1">
      <alignment horizontal="left" vertical="top"/>
    </xf>
    <xf numFmtId="0" fontId="105" fillId="3" borderId="3" xfId="1" applyFont="1" applyFill="1" applyBorder="1" applyAlignment="1">
      <alignment horizontal="left" wrapText="1"/>
    </xf>
    <xf numFmtId="0" fontId="105" fillId="3" borderId="0" xfId="1" applyFont="1" applyFill="1" applyBorder="1" applyAlignment="1">
      <alignment horizontal="left" wrapText="1"/>
    </xf>
    <xf numFmtId="0" fontId="7" fillId="11" borderId="40" xfId="0" applyFont="1" applyFill="1" applyBorder="1" applyAlignment="1">
      <alignment horizontal="left" vertical="center" wrapText="1"/>
    </xf>
    <xf numFmtId="0" fontId="7" fillId="11" borderId="144" xfId="0" applyFont="1" applyFill="1" applyBorder="1" applyAlignment="1">
      <alignment horizontal="left" vertical="center" wrapText="1"/>
    </xf>
    <xf numFmtId="0" fontId="114" fillId="2" borderId="35" xfId="0" applyFont="1" applyFill="1" applyBorder="1" applyAlignment="1">
      <alignment horizontal="center" vertical="center"/>
    </xf>
    <xf numFmtId="0" fontId="114" fillId="2" borderId="0" xfId="0" applyFont="1" applyFill="1" applyAlignment="1">
      <alignment horizontal="center" vertical="center"/>
    </xf>
    <xf numFmtId="0" fontId="54" fillId="2" borderId="0" xfId="0" applyFont="1" applyFill="1" applyAlignment="1">
      <alignment horizontal="center" vertical="center" wrapText="1"/>
    </xf>
    <xf numFmtId="0" fontId="55" fillId="2" borderId="43" xfId="0" applyFont="1" applyFill="1" applyBorder="1" applyAlignment="1">
      <alignment horizontal="left" vertical="center"/>
    </xf>
    <xf numFmtId="0" fontId="55" fillId="2" borderId="24" xfId="0" applyFont="1" applyFill="1" applyBorder="1" applyAlignment="1">
      <alignment horizontal="left" vertical="center"/>
    </xf>
    <xf numFmtId="0" fontId="2" fillId="3" borderId="71" xfId="0" applyFont="1" applyFill="1" applyBorder="1" applyAlignment="1">
      <alignment horizontal="left" vertical="top" wrapText="1"/>
    </xf>
    <xf numFmtId="0" fontId="2" fillId="3" borderId="110"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0" xfId="0" applyFont="1" applyFill="1" applyAlignment="1">
      <alignment horizontal="left" vertical="top" wrapText="1"/>
    </xf>
    <xf numFmtId="0" fontId="2" fillId="3" borderId="148" xfId="0" applyFont="1" applyFill="1" applyBorder="1" applyAlignment="1">
      <alignment horizontal="left" vertical="top" wrapText="1"/>
    </xf>
    <xf numFmtId="0" fontId="2" fillId="3" borderId="4" xfId="0" applyFont="1" applyFill="1" applyBorder="1" applyAlignment="1">
      <alignment horizontal="left" vertical="top" wrapText="1"/>
    </xf>
    <xf numFmtId="0" fontId="93" fillId="2" borderId="35" xfId="0" applyFont="1" applyFill="1" applyBorder="1" applyAlignment="1">
      <alignment horizontal="left" vertical="center" wrapText="1"/>
    </xf>
    <xf numFmtId="0" fontId="93" fillId="2" borderId="0" xfId="0" applyFont="1" applyFill="1" applyAlignment="1">
      <alignment horizontal="left" vertical="center" wrapText="1"/>
    </xf>
    <xf numFmtId="0" fontId="71" fillId="2" borderId="57" xfId="0" applyFont="1" applyFill="1" applyBorder="1" applyAlignment="1">
      <alignment horizontal="left" vertical="center"/>
    </xf>
    <xf numFmtId="0" fontId="71" fillId="2" borderId="0" xfId="0" applyFont="1" applyFill="1" applyAlignment="1">
      <alignment horizontal="left" vertical="center"/>
    </xf>
    <xf numFmtId="0" fontId="71" fillId="2" borderId="108" xfId="0" applyFont="1" applyFill="1" applyBorder="1" applyAlignment="1">
      <alignment horizontal="left" vertical="center"/>
    </xf>
    <xf numFmtId="0" fontId="26" fillId="2" borderId="134" xfId="0" applyFont="1" applyFill="1" applyBorder="1" applyAlignment="1">
      <alignment horizontal="center"/>
    </xf>
    <xf numFmtId="0" fontId="26" fillId="2" borderId="10" xfId="0" applyFont="1" applyFill="1" applyBorder="1" applyAlignment="1">
      <alignment horizontal="center"/>
    </xf>
    <xf numFmtId="0" fontId="26" fillId="2" borderId="130" xfId="0" applyFont="1" applyFill="1" applyBorder="1" applyAlignment="1">
      <alignment horizontal="center"/>
    </xf>
    <xf numFmtId="0" fontId="2" fillId="2" borderId="0" xfId="0" applyFont="1" applyFill="1" applyAlignment="1">
      <alignment horizontal="left" vertical="center" wrapText="1"/>
    </xf>
    <xf numFmtId="0" fontId="64" fillId="11" borderId="40" xfId="0" applyFont="1" applyFill="1" applyBorder="1" applyAlignment="1">
      <alignment horizontal="left" vertical="center" wrapText="1"/>
    </xf>
    <xf numFmtId="0" fontId="64" fillId="11" borderId="25" xfId="0" applyFont="1" applyFill="1" applyBorder="1" applyAlignment="1">
      <alignment horizontal="left" vertical="center" wrapText="1"/>
    </xf>
    <xf numFmtId="0" fontId="64" fillId="11" borderId="32" xfId="0" applyFont="1" applyFill="1" applyBorder="1" applyAlignment="1">
      <alignment horizontal="left" vertical="center" wrapText="1"/>
    </xf>
    <xf numFmtId="0" fontId="2" fillId="2" borderId="0" xfId="0" applyFont="1" applyFill="1" applyAlignment="1">
      <alignment vertical="center" wrapText="1"/>
    </xf>
    <xf numFmtId="0" fontId="11" fillId="2" borderId="56" xfId="0" applyFont="1" applyFill="1" applyBorder="1" applyAlignment="1">
      <alignment horizontal="center" vertical="center" wrapText="1"/>
    </xf>
    <xf numFmtId="0" fontId="2" fillId="0" borderId="13" xfId="0" applyFont="1" applyBorder="1" applyAlignment="1">
      <alignment horizontal="right" vertical="center"/>
    </xf>
    <xf numFmtId="0" fontId="2" fillId="0" borderId="19" xfId="0" applyFont="1" applyBorder="1" applyAlignment="1">
      <alignment horizontal="right" vertical="center"/>
    </xf>
    <xf numFmtId="0" fontId="135" fillId="2" borderId="57" xfId="0" applyFont="1" applyFill="1" applyBorder="1" applyAlignment="1">
      <alignment horizontal="left" vertical="top" wrapText="1"/>
    </xf>
    <xf numFmtId="0" fontId="135" fillId="2" borderId="108" xfId="0" applyFont="1" applyFill="1" applyBorder="1" applyAlignment="1">
      <alignment horizontal="left" vertical="top" wrapText="1"/>
    </xf>
    <xf numFmtId="165" fontId="2" fillId="13" borderId="20" xfId="2" applyNumberFormat="1" applyFont="1" applyFill="1" applyBorder="1" applyAlignment="1">
      <alignment horizontal="right" vertical="center"/>
    </xf>
    <xf numFmtId="165" fontId="2" fillId="13" borderId="21" xfId="2" applyNumberFormat="1" applyFont="1" applyFill="1" applyBorder="1" applyAlignment="1">
      <alignment horizontal="right" vertical="center"/>
    </xf>
    <xf numFmtId="9" fontId="2" fillId="13" borderId="22" xfId="2" applyNumberFormat="1" applyFont="1" applyFill="1" applyBorder="1" applyAlignment="1">
      <alignment horizontal="right" vertical="center"/>
    </xf>
    <xf numFmtId="9" fontId="2" fillId="13" borderId="23" xfId="2" applyNumberFormat="1" applyFont="1" applyFill="1" applyBorder="1" applyAlignment="1">
      <alignment horizontal="right" vertical="center"/>
    </xf>
    <xf numFmtId="9" fontId="2" fillId="13" borderId="38" xfId="3" applyFont="1" applyFill="1" applyBorder="1" applyAlignment="1">
      <alignment horizontal="right" vertical="center"/>
    </xf>
    <xf numFmtId="9" fontId="2" fillId="13" borderId="29" xfId="3" applyFont="1" applyFill="1" applyBorder="1" applyAlignment="1">
      <alignment horizontal="right" vertical="center"/>
    </xf>
    <xf numFmtId="0" fontId="45" fillId="2" borderId="35" xfId="0" applyFont="1" applyFill="1" applyBorder="1" applyAlignment="1">
      <alignment horizontal="left" vertical="center" wrapText="1"/>
    </xf>
    <xf numFmtId="0" fontId="45" fillId="2" borderId="0" xfId="0" applyFont="1" applyFill="1" applyAlignment="1">
      <alignment horizontal="left" vertical="center" wrapText="1"/>
    </xf>
    <xf numFmtId="0" fontId="90" fillId="7" borderId="111" xfId="0" applyFont="1" applyFill="1" applyBorder="1" applyAlignment="1">
      <alignment horizontal="left" wrapText="1"/>
    </xf>
    <xf numFmtId="0" fontId="90" fillId="7" borderId="118" xfId="0" applyFont="1" applyFill="1" applyBorder="1" applyAlignment="1">
      <alignment horizontal="left" wrapText="1"/>
    </xf>
    <xf numFmtId="0" fontId="90" fillId="7" borderId="80" xfId="0" applyFont="1" applyFill="1" applyBorder="1" applyAlignment="1">
      <alignment horizontal="left" wrapText="1"/>
    </xf>
    <xf numFmtId="0" fontId="0" fillId="3" borderId="114" xfId="0" applyFill="1" applyBorder="1" applyAlignment="1">
      <alignment horizontal="left" vertical="top" wrapText="1"/>
    </xf>
    <xf numFmtId="0" fontId="0" fillId="3" borderId="0" xfId="0" applyFill="1" applyAlignment="1">
      <alignment horizontal="left" vertical="top" wrapText="1"/>
    </xf>
    <xf numFmtId="0" fontId="0" fillId="3" borderId="117" xfId="0" applyFill="1" applyBorder="1" applyAlignment="1">
      <alignment horizontal="left" vertical="top" wrapText="1"/>
    </xf>
    <xf numFmtId="0" fontId="105" fillId="3" borderId="116" xfId="1" applyFont="1" applyFill="1" applyBorder="1" applyAlignment="1">
      <alignment horizontal="left" wrapText="1"/>
    </xf>
    <xf numFmtId="0" fontId="105" fillId="3" borderId="61" xfId="1" applyFont="1" applyFill="1" applyBorder="1" applyAlignment="1">
      <alignment horizontal="left" wrapText="1"/>
    </xf>
    <xf numFmtId="0" fontId="105" fillId="3" borderId="109" xfId="1" applyFont="1" applyFill="1" applyBorder="1" applyAlignment="1">
      <alignment horizontal="left" wrapText="1"/>
    </xf>
    <xf numFmtId="0" fontId="4" fillId="2" borderId="35" xfId="0" applyFont="1" applyFill="1" applyBorder="1" applyAlignment="1">
      <alignment horizontal="left" vertical="center" wrapText="1"/>
    </xf>
    <xf numFmtId="0" fontId="22" fillId="2" borderId="0" xfId="0" applyFont="1" applyFill="1" applyAlignment="1">
      <alignment horizontal="left" vertical="center"/>
    </xf>
    <xf numFmtId="0" fontId="22" fillId="2" borderId="26" xfId="0" applyFont="1" applyFill="1" applyBorder="1" applyAlignment="1">
      <alignment horizontal="left" vertical="center"/>
    </xf>
    <xf numFmtId="0" fontId="25" fillId="0" borderId="35" xfId="0" applyFont="1" applyBorder="1" applyAlignment="1">
      <alignment horizontal="center" vertical="center" wrapText="1"/>
    </xf>
    <xf numFmtId="0" fontId="25" fillId="0" borderId="0" xfId="0" applyFont="1" applyAlignment="1">
      <alignment horizontal="center" vertical="center" wrapText="1"/>
    </xf>
    <xf numFmtId="0" fontId="25" fillId="0" borderId="26" xfId="0" applyFont="1" applyBorder="1" applyAlignment="1">
      <alignment horizontal="center" vertical="center" wrapText="1"/>
    </xf>
    <xf numFmtId="0" fontId="25" fillId="0" borderId="4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44" xfId="0" applyFont="1" applyBorder="1" applyAlignment="1">
      <alignment horizontal="center" vertical="center" wrapText="1"/>
    </xf>
    <xf numFmtId="0" fontId="55" fillId="4" borderId="78" xfId="0" applyFont="1" applyFill="1" applyBorder="1" applyAlignment="1">
      <alignment horizontal="left" vertical="center"/>
    </xf>
    <xf numFmtId="0" fontId="55" fillId="4" borderId="119" xfId="0" applyFont="1" applyFill="1" applyBorder="1" applyAlignment="1">
      <alignment horizontal="left" vertical="center"/>
    </xf>
    <xf numFmtId="0" fontId="0" fillId="7" borderId="111" xfId="0" applyFill="1" applyBorder="1" applyAlignment="1">
      <alignment horizontal="left" vertical="center" wrapText="1"/>
    </xf>
    <xf numFmtId="0" fontId="0" fillId="7" borderId="118" xfId="0" applyFill="1" applyBorder="1" applyAlignment="1">
      <alignment horizontal="left" vertical="center" wrapText="1"/>
    </xf>
    <xf numFmtId="0" fontId="0" fillId="7" borderId="80" xfId="0" applyFill="1" applyBorder="1" applyAlignment="1">
      <alignment horizontal="left" vertical="center" wrapText="1"/>
    </xf>
    <xf numFmtId="0" fontId="0" fillId="7" borderId="114" xfId="0" applyFill="1" applyBorder="1" applyAlignment="1">
      <alignment horizontal="left" vertical="center" wrapText="1"/>
    </xf>
    <xf numFmtId="0" fontId="0" fillId="7" borderId="0" xfId="0" applyFill="1" applyAlignment="1">
      <alignment horizontal="left" vertical="center" wrapText="1"/>
    </xf>
    <xf numFmtId="0" fontId="0" fillId="7" borderId="117" xfId="0" applyFill="1" applyBorder="1" applyAlignment="1">
      <alignment horizontal="left" vertical="center" wrapText="1"/>
    </xf>
    <xf numFmtId="0" fontId="0" fillId="7" borderId="116" xfId="0" applyFill="1" applyBorder="1" applyAlignment="1">
      <alignment horizontal="left" vertical="center" wrapText="1"/>
    </xf>
    <xf numFmtId="0" fontId="0" fillId="7" borderId="61" xfId="0" applyFill="1" applyBorder="1" applyAlignment="1">
      <alignment horizontal="left" vertical="center" wrapText="1"/>
    </xf>
    <xf numFmtId="0" fontId="0" fillId="7" borderId="109" xfId="0" applyFill="1" applyBorder="1" applyAlignment="1">
      <alignment horizontal="left" vertical="center" wrapText="1"/>
    </xf>
    <xf numFmtId="0" fontId="107" fillId="5" borderId="0" xfId="0" applyFont="1" applyFill="1" applyAlignment="1">
      <alignment horizontal="left" vertical="center" wrapText="1"/>
    </xf>
    <xf numFmtId="0" fontId="1" fillId="5" borderId="61" xfId="1" applyFill="1" applyBorder="1" applyAlignment="1">
      <alignment horizontal="left" vertical="center" wrapText="1"/>
    </xf>
    <xf numFmtId="0" fontId="99" fillId="2" borderId="35" xfId="0" applyFont="1" applyFill="1" applyBorder="1" applyAlignment="1">
      <alignment horizontal="left" vertical="center" wrapText="1"/>
    </xf>
    <xf numFmtId="0" fontId="99" fillId="2" borderId="0" xfId="0" applyFont="1" applyFill="1" applyAlignment="1">
      <alignment horizontal="left" vertical="center" wrapText="1"/>
    </xf>
    <xf numFmtId="0" fontId="99" fillId="2" borderId="26" xfId="0" applyFont="1" applyFill="1" applyBorder="1" applyAlignment="1">
      <alignment horizontal="left" vertical="center" wrapText="1"/>
    </xf>
    <xf numFmtId="9" fontId="21" fillId="2" borderId="66" xfId="3" applyFont="1" applyFill="1" applyBorder="1" applyAlignment="1">
      <alignment horizontal="left" vertical="center" wrapText="1"/>
    </xf>
    <xf numFmtId="9" fontId="21" fillId="2" borderId="160" xfId="3" applyFont="1" applyFill="1" applyBorder="1" applyAlignment="1">
      <alignment horizontal="left" vertical="center" wrapText="1"/>
    </xf>
    <xf numFmtId="0" fontId="4" fillId="2" borderId="0" xfId="0" applyFont="1" applyFill="1" applyAlignment="1">
      <alignment horizontal="left" vertical="center"/>
    </xf>
    <xf numFmtId="0" fontId="4" fillId="2" borderId="108" xfId="0" applyFont="1" applyFill="1" applyBorder="1" applyAlignment="1">
      <alignment horizontal="left" vertical="center"/>
    </xf>
    <xf numFmtId="0" fontId="55" fillId="4" borderId="120" xfId="0" applyFont="1" applyFill="1" applyBorder="1" applyAlignment="1">
      <alignment horizontal="left" vertical="center"/>
    </xf>
    <xf numFmtId="0" fontId="23" fillId="2" borderId="0" xfId="0" applyFont="1" applyFill="1" applyAlignment="1">
      <alignment horizontal="left" vertical="top" wrapText="1"/>
    </xf>
    <xf numFmtId="0" fontId="25" fillId="2" borderId="35" xfId="0" applyFont="1" applyFill="1" applyBorder="1" applyAlignment="1">
      <alignment horizontal="left" wrapText="1"/>
    </xf>
    <xf numFmtId="0" fontId="25" fillId="2" borderId="0" xfId="0" applyFont="1" applyFill="1" applyAlignment="1">
      <alignment horizontal="left" wrapText="1"/>
    </xf>
    <xf numFmtId="0" fontId="25" fillId="2" borderId="26" xfId="0" applyFont="1" applyFill="1" applyBorder="1" applyAlignment="1">
      <alignment horizontal="left" wrapText="1"/>
    </xf>
    <xf numFmtId="0" fontId="25" fillId="2" borderId="43" xfId="0" applyFont="1" applyFill="1" applyBorder="1" applyAlignment="1">
      <alignment horizontal="left" wrapText="1"/>
    </xf>
    <xf numFmtId="0" fontId="25" fillId="2" borderId="24" xfId="0" applyFont="1" applyFill="1" applyBorder="1" applyAlignment="1">
      <alignment horizontal="left" wrapText="1"/>
    </xf>
    <xf numFmtId="0" fontId="25" fillId="2" borderId="44" xfId="0" applyFont="1" applyFill="1" applyBorder="1" applyAlignment="1">
      <alignment horizontal="left" wrapText="1"/>
    </xf>
    <xf numFmtId="0" fontId="7" fillId="11" borderId="25" xfId="0" applyFont="1" applyFill="1" applyBorder="1" applyAlignment="1">
      <alignment horizontal="left" vertical="center" wrapText="1"/>
    </xf>
    <xf numFmtId="0" fontId="7" fillId="11" borderId="32" xfId="0" applyFont="1" applyFill="1" applyBorder="1" applyAlignment="1">
      <alignment horizontal="left" vertical="center" wrapText="1"/>
    </xf>
    <xf numFmtId="0" fontId="113" fillId="2" borderId="0" xfId="0" applyFont="1" applyFill="1" applyAlignment="1">
      <alignment horizontal="center" vertical="top" wrapText="1"/>
    </xf>
    <xf numFmtId="0" fontId="107" fillId="2" borderId="43" xfId="0" applyFont="1" applyFill="1" applyBorder="1" applyAlignment="1">
      <alignment horizontal="left" vertical="center"/>
    </xf>
    <xf numFmtId="0" fontId="107" fillId="2" borderId="24" xfId="0" applyFont="1" applyFill="1" applyBorder="1" applyAlignment="1">
      <alignment horizontal="left" vertical="center"/>
    </xf>
    <xf numFmtId="0" fontId="107" fillId="2" borderId="44" xfId="0" applyFont="1" applyFill="1" applyBorder="1" applyAlignment="1">
      <alignment horizontal="left" vertical="center"/>
    </xf>
    <xf numFmtId="0" fontId="4" fillId="2" borderId="35" xfId="0" applyFont="1" applyFill="1" applyBorder="1" applyAlignment="1">
      <alignment horizontal="left" vertical="top"/>
    </xf>
    <xf numFmtId="0" fontId="4" fillId="2" borderId="0" xfId="0" applyFont="1" applyFill="1" applyAlignment="1">
      <alignment horizontal="left" vertical="top"/>
    </xf>
    <xf numFmtId="0" fontId="4" fillId="2" borderId="26" xfId="0" applyFont="1" applyFill="1" applyBorder="1" applyAlignment="1">
      <alignment horizontal="left" vertical="top"/>
    </xf>
    <xf numFmtId="9" fontId="21" fillId="2" borderId="183" xfId="3" applyFont="1" applyFill="1" applyBorder="1" applyAlignment="1">
      <alignment horizontal="left" vertical="center" wrapText="1"/>
    </xf>
    <xf numFmtId="9" fontId="21" fillId="2" borderId="184" xfId="3" applyFont="1" applyFill="1" applyBorder="1" applyAlignment="1">
      <alignment horizontal="left" vertical="center" wrapText="1"/>
    </xf>
    <xf numFmtId="9" fontId="21" fillId="2" borderId="185" xfId="3" applyFont="1" applyFill="1" applyBorder="1" applyAlignment="1">
      <alignment horizontal="left" vertical="center" wrapText="1"/>
    </xf>
    <xf numFmtId="0" fontId="150" fillId="0" borderId="22" xfId="0" applyFont="1" applyBorder="1" applyAlignment="1">
      <alignment horizontal="left" vertical="center" wrapText="1"/>
    </xf>
    <xf numFmtId="0" fontId="150" fillId="0" borderId="6" xfId="0" applyFont="1" applyBorder="1" applyAlignment="1">
      <alignment horizontal="left" vertical="center" wrapText="1"/>
    </xf>
    <xf numFmtId="0" fontId="150" fillId="0" borderId="23" xfId="0" applyFont="1" applyBorder="1" applyAlignment="1">
      <alignment horizontal="left" vertical="center" wrapText="1"/>
    </xf>
    <xf numFmtId="0" fontId="2" fillId="13" borderId="13" xfId="0" applyFont="1" applyFill="1" applyBorder="1" applyAlignment="1"/>
    <xf numFmtId="0" fontId="2" fillId="2" borderId="13" xfId="0" applyFont="1" applyFill="1" applyBorder="1" applyAlignment="1"/>
    <xf numFmtId="165" fontId="2" fillId="13" borderId="20" xfId="2" applyNumberFormat="1" applyFont="1" applyFill="1" applyBorder="1" applyAlignment="1"/>
    <xf numFmtId="0" fontId="2" fillId="13" borderId="47" xfId="0" applyFont="1" applyFill="1" applyBorder="1" applyAlignment="1"/>
    <xf numFmtId="0" fontId="2" fillId="2" borderId="47" xfId="0" applyFont="1" applyFill="1" applyBorder="1" applyAlignment="1"/>
    <xf numFmtId="165" fontId="2" fillId="13" borderId="139" xfId="2" applyNumberFormat="1" applyFont="1" applyFill="1" applyBorder="1" applyAlignment="1"/>
    <xf numFmtId="0" fontId="11" fillId="2" borderId="56" xfId="0" applyFont="1" applyFill="1" applyBorder="1" applyAlignment="1">
      <alignment horizontal="center" wrapText="1"/>
    </xf>
    <xf numFmtId="0" fontId="11" fillId="2" borderId="103" xfId="0" applyFont="1" applyFill="1" applyBorder="1" applyAlignment="1">
      <alignment horizontal="center" wrapText="1"/>
    </xf>
    <xf numFmtId="9" fontId="2" fillId="13" borderId="22" xfId="2" applyNumberFormat="1" applyFont="1" applyFill="1" applyBorder="1" applyAlignment="1"/>
    <xf numFmtId="9" fontId="2" fillId="13" borderId="22" xfId="3" applyFont="1" applyFill="1" applyBorder="1" applyAlignment="1"/>
    <xf numFmtId="9" fontId="2" fillId="13" borderId="48" xfId="2" applyNumberFormat="1" applyFont="1" applyFill="1" applyBorder="1" applyAlignment="1"/>
    <xf numFmtId="9" fontId="2" fillId="13" borderId="48" xfId="3" applyFont="1" applyFill="1" applyBorder="1" applyAlignment="1"/>
    <xf numFmtId="0" fontId="1" fillId="3" borderId="3" xfId="1" applyFill="1" applyBorder="1" applyAlignment="1">
      <alignment horizontal="left" wrapText="1"/>
    </xf>
    <xf numFmtId="0" fontId="1" fillId="3" borderId="0" xfId="1" applyFill="1" applyBorder="1" applyAlignment="1">
      <alignment horizontal="left" wrapText="1"/>
    </xf>
    <xf numFmtId="44" fontId="62" fillId="2" borderId="5" xfId="0" applyNumberFormat="1" applyFont="1" applyFill="1" applyBorder="1" applyAlignment="1">
      <alignment horizontal="center" vertical="center"/>
    </xf>
    <xf numFmtId="0" fontId="4" fillId="2" borderId="151" xfId="0" applyFont="1" applyFill="1" applyBorder="1" applyAlignment="1">
      <alignment horizontal="left" vertical="center"/>
    </xf>
    <xf numFmtId="0" fontId="4" fillId="2" borderId="152" xfId="0" applyFont="1" applyFill="1" applyBorder="1" applyAlignment="1">
      <alignment horizontal="left" vertical="center"/>
    </xf>
    <xf numFmtId="0" fontId="2" fillId="3" borderId="114" xfId="0" applyFont="1" applyFill="1" applyBorder="1" applyAlignment="1">
      <alignment horizontal="left" vertical="top" wrapText="1"/>
    </xf>
    <xf numFmtId="0" fontId="2" fillId="3" borderId="26" xfId="0" applyFont="1" applyFill="1" applyBorder="1" applyAlignment="1">
      <alignment horizontal="left" vertical="top" wrapText="1"/>
    </xf>
    <xf numFmtId="0" fontId="105" fillId="3" borderId="161" xfId="1" applyFont="1" applyFill="1" applyBorder="1" applyAlignment="1">
      <alignment horizontal="left" wrapText="1"/>
    </xf>
    <xf numFmtId="0" fontId="7" fillId="14" borderId="40" xfId="0" applyFont="1" applyFill="1" applyBorder="1" applyAlignment="1">
      <alignment horizontal="left" vertical="center" wrapText="1"/>
    </xf>
    <xf numFmtId="0" fontId="7" fillId="14" borderId="25" xfId="0" applyFont="1" applyFill="1" applyBorder="1" applyAlignment="1">
      <alignment horizontal="left" vertical="center" wrapText="1"/>
    </xf>
    <xf numFmtId="0" fontId="7" fillId="14" borderId="144" xfId="0" applyFont="1" applyFill="1" applyBorder="1" applyAlignment="1">
      <alignment horizontal="left" vertical="center" wrapText="1"/>
    </xf>
    <xf numFmtId="0" fontId="4" fillId="2" borderId="4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44" xfId="0" applyFont="1" applyFill="1" applyBorder="1" applyAlignment="1">
      <alignment horizontal="center" vertical="center"/>
    </xf>
    <xf numFmtId="0" fontId="55" fillId="4" borderId="214" xfId="0" applyFont="1" applyFill="1" applyBorder="1" applyAlignment="1">
      <alignment horizontal="left" vertical="center"/>
    </xf>
    <xf numFmtId="0" fontId="2" fillId="7" borderId="111" xfId="0" applyFont="1" applyFill="1" applyBorder="1" applyAlignment="1">
      <alignment horizontal="left" vertical="center" wrapText="1"/>
    </xf>
    <xf numFmtId="0" fontId="2" fillId="7" borderId="118" xfId="0" applyFont="1" applyFill="1" applyBorder="1" applyAlignment="1">
      <alignment horizontal="left" vertical="center" wrapText="1"/>
    </xf>
    <xf numFmtId="0" fontId="2" fillId="7" borderId="213" xfId="0" applyFont="1" applyFill="1" applyBorder="1" applyAlignment="1">
      <alignment horizontal="left" vertical="center" wrapText="1"/>
    </xf>
    <xf numFmtId="0" fontId="2" fillId="7" borderId="114" xfId="0" applyFont="1" applyFill="1" applyBorder="1" applyAlignment="1">
      <alignment horizontal="left" vertical="center" wrapText="1"/>
    </xf>
    <xf numFmtId="0" fontId="2" fillId="7" borderId="0" xfId="0" applyFont="1" applyFill="1" applyAlignment="1">
      <alignment horizontal="left" vertical="center" wrapText="1"/>
    </xf>
    <xf numFmtId="0" fontId="2" fillId="7" borderId="26" xfId="0" applyFont="1" applyFill="1" applyBorder="1" applyAlignment="1">
      <alignment horizontal="left" vertical="center" wrapText="1"/>
    </xf>
    <xf numFmtId="0" fontId="2" fillId="7" borderId="116" xfId="0" applyFont="1" applyFill="1" applyBorder="1" applyAlignment="1">
      <alignment horizontal="left" vertical="center" wrapText="1"/>
    </xf>
    <xf numFmtId="0" fontId="2" fillId="7" borderId="61" xfId="0" applyFont="1" applyFill="1" applyBorder="1" applyAlignment="1">
      <alignment horizontal="left" vertical="center" wrapText="1"/>
    </xf>
    <xf numFmtId="0" fontId="2" fillId="7" borderId="161" xfId="0" applyFont="1" applyFill="1" applyBorder="1" applyAlignment="1">
      <alignment horizontal="left" vertical="center" wrapText="1"/>
    </xf>
    <xf numFmtId="0" fontId="106" fillId="7" borderId="111" xfId="0" applyFont="1" applyFill="1" applyBorder="1" applyAlignment="1">
      <alignment horizontal="left" wrapText="1"/>
    </xf>
    <xf numFmtId="0" fontId="106" fillId="7" borderId="118" xfId="0" applyFont="1" applyFill="1" applyBorder="1" applyAlignment="1">
      <alignment horizontal="left" wrapText="1"/>
    </xf>
    <xf numFmtId="0" fontId="106" fillId="7" borderId="213" xfId="0" applyFont="1" applyFill="1" applyBorder="1" applyAlignment="1">
      <alignment horizontal="left" wrapText="1"/>
    </xf>
    <xf numFmtId="0" fontId="90" fillId="7" borderId="114" xfId="0" applyFont="1" applyFill="1" applyBorder="1" applyAlignment="1">
      <alignment horizontal="left" wrapText="1"/>
    </xf>
    <xf numFmtId="0" fontId="90" fillId="7" borderId="0" xfId="0" applyFont="1" applyFill="1" applyAlignment="1">
      <alignment horizontal="left" wrapText="1"/>
    </xf>
    <xf numFmtId="0" fontId="4" fillId="3" borderId="0" xfId="0" applyFont="1" applyFill="1" applyAlignment="1">
      <alignment horizontal="left" vertical="top" wrapText="1"/>
    </xf>
    <xf numFmtId="0" fontId="0" fillId="3" borderId="114" xfId="0" applyFill="1" applyBorder="1" applyAlignment="1">
      <alignment horizontal="left" vertical="top"/>
    </xf>
    <xf numFmtId="0" fontId="0" fillId="3" borderId="0" xfId="0" applyFill="1" applyAlignment="1">
      <alignment horizontal="left" vertical="top"/>
    </xf>
    <xf numFmtId="0" fontId="105" fillId="3" borderId="157" xfId="1" applyFont="1" applyFill="1" applyBorder="1" applyAlignment="1">
      <alignment horizontal="left" wrapText="1"/>
    </xf>
    <xf numFmtId="0" fontId="105" fillId="3" borderId="24" xfId="1" applyFont="1" applyFill="1" applyBorder="1" applyAlignment="1">
      <alignment horizontal="left" wrapText="1"/>
    </xf>
    <xf numFmtId="0" fontId="4" fillId="2" borderId="124" xfId="0" applyFont="1" applyFill="1" applyBorder="1" applyAlignment="1">
      <alignment horizontal="left"/>
    </xf>
    <xf numFmtId="0" fontId="4" fillId="2" borderId="14" xfId="0" applyFont="1" applyFill="1" applyBorder="1" applyAlignment="1">
      <alignment horizontal="left"/>
    </xf>
    <xf numFmtId="0" fontId="1" fillId="2" borderId="134" xfId="1" applyFill="1" applyBorder="1" applyAlignment="1">
      <alignment horizontal="left"/>
    </xf>
    <xf numFmtId="0" fontId="1" fillId="2" borderId="10" xfId="1" applyFill="1" applyBorder="1" applyAlignment="1">
      <alignment horizontal="left"/>
    </xf>
    <xf numFmtId="0" fontId="82" fillId="4" borderId="0" xfId="0" applyFont="1" applyFill="1" applyAlignment="1">
      <alignment horizontal="center"/>
    </xf>
    <xf numFmtId="0" fontId="0" fillId="7" borderId="114" xfId="0" applyFill="1" applyBorder="1" applyAlignment="1">
      <alignment horizontal="left" vertical="top" wrapText="1"/>
    </xf>
    <xf numFmtId="0" fontId="0" fillId="7" borderId="0" xfId="0" applyFill="1" applyAlignment="1">
      <alignment horizontal="left" vertical="top" wrapText="1"/>
    </xf>
    <xf numFmtId="0" fontId="23" fillId="5" borderId="0" xfId="0" applyFont="1" applyFill="1" applyAlignment="1">
      <alignment horizontal="left" vertical="center" wrapText="1"/>
    </xf>
    <xf numFmtId="44" fontId="62" fillId="2" borderId="136" xfId="0" applyNumberFormat="1" applyFont="1" applyFill="1" applyBorder="1" applyAlignment="1">
      <alignment horizontal="center"/>
    </xf>
    <xf numFmtId="0" fontId="22" fillId="2" borderId="43" xfId="0" applyFont="1" applyFill="1" applyBorder="1" applyAlignment="1">
      <alignment horizontal="left" vertical="center"/>
    </xf>
    <xf numFmtId="0" fontId="22" fillId="2" borderId="24" xfId="0" applyFont="1" applyFill="1" applyBorder="1" applyAlignment="1">
      <alignment horizontal="left" vertical="center"/>
    </xf>
    <xf numFmtId="0" fontId="22" fillId="2" borderId="44" xfId="0" applyFont="1" applyFill="1" applyBorder="1" applyAlignment="1">
      <alignment horizontal="left" vertical="center"/>
    </xf>
    <xf numFmtId="0" fontId="23" fillId="5" borderId="57" xfId="0" applyFont="1" applyFill="1" applyBorder="1" applyAlignment="1">
      <alignment horizontal="left" vertical="center" wrapText="1"/>
    </xf>
    <xf numFmtId="0" fontId="88" fillId="2" borderId="0" xfId="0" applyFont="1" applyFill="1" applyAlignment="1">
      <alignment horizontal="right" vertical="center" wrapText="1"/>
    </xf>
    <xf numFmtId="0" fontId="88" fillId="2" borderId="108" xfId="0" applyFont="1" applyFill="1" applyBorder="1" applyAlignment="1">
      <alignment horizontal="right" vertical="center" wrapText="1"/>
    </xf>
    <xf numFmtId="0" fontId="11" fillId="2" borderId="0" xfId="0" applyFont="1" applyFill="1" applyAlignment="1">
      <alignment horizontal="center" vertical="center" wrapText="1"/>
    </xf>
    <xf numFmtId="9" fontId="2" fillId="5" borderId="0" xfId="3" applyFont="1" applyFill="1" applyBorder="1" applyAlignment="1">
      <alignment horizontal="left" vertical="center"/>
    </xf>
    <xf numFmtId="0" fontId="2" fillId="2" borderId="7" xfId="0" applyFont="1" applyFill="1" applyBorder="1" applyAlignment="1">
      <alignment vertical="center"/>
    </xf>
    <xf numFmtId="0" fontId="2" fillId="5" borderId="0" xfId="0" applyFont="1" applyFill="1" applyAlignment="1">
      <alignment horizontal="left" vertical="center"/>
    </xf>
    <xf numFmtId="165" fontId="2" fillId="13" borderId="7" xfId="2" applyNumberFormat="1" applyFont="1" applyFill="1" applyBorder="1" applyAlignment="1">
      <alignment vertical="center"/>
    </xf>
    <xf numFmtId="165" fontId="2" fillId="5" borderId="0" xfId="2" applyNumberFormat="1" applyFont="1" applyFill="1" applyBorder="1" applyAlignment="1">
      <alignment horizontal="left" vertical="center"/>
    </xf>
    <xf numFmtId="9" fontId="2" fillId="13" borderId="7" xfId="2" applyNumberFormat="1" applyFont="1" applyFill="1" applyBorder="1" applyAlignment="1">
      <alignment vertical="center"/>
    </xf>
    <xf numFmtId="9" fontId="2" fillId="5" borderId="0" xfId="2" applyNumberFormat="1" applyFont="1" applyFill="1" applyBorder="1" applyAlignment="1">
      <alignment horizontal="left" vertical="center"/>
    </xf>
    <xf numFmtId="9" fontId="2" fillId="13" borderId="23" xfId="3" applyFont="1" applyFill="1" applyBorder="1" applyAlignment="1">
      <alignment horizontal="right" vertical="center"/>
    </xf>
    <xf numFmtId="0" fontId="2" fillId="13" borderId="7" xfId="0" applyFont="1" applyFill="1" applyBorder="1" applyAlignment="1">
      <alignment vertical="center"/>
    </xf>
    <xf numFmtId="0" fontId="87" fillId="5" borderId="0" xfId="0" applyFont="1" applyFill="1" applyAlignment="1">
      <alignment horizontal="left" vertical="center" wrapText="1"/>
    </xf>
    <xf numFmtId="0" fontId="11" fillId="2" borderId="108" xfId="0" applyFont="1" applyFill="1" applyBorder="1" applyAlignment="1">
      <alignment horizontal="center" vertical="center" wrapText="1"/>
    </xf>
    <xf numFmtId="0" fontId="11" fillId="2" borderId="0" xfId="0" applyFont="1" applyFill="1" applyAlignment="1">
      <alignment horizontal="left" vertical="center" wrapText="1"/>
    </xf>
    <xf numFmtId="0" fontId="11" fillId="2" borderId="108" xfId="0" applyFont="1" applyFill="1" applyBorder="1" applyAlignment="1">
      <alignment horizontal="left" vertical="center" wrapText="1"/>
    </xf>
    <xf numFmtId="0" fontId="7" fillId="11" borderId="40" xfId="0" applyFont="1" applyFill="1" applyBorder="1" applyAlignment="1">
      <alignment horizontal="left" vertical="center"/>
    </xf>
    <xf numFmtId="0" fontId="7" fillId="11" borderId="25" xfId="0" applyFont="1" applyFill="1" applyBorder="1" applyAlignment="1">
      <alignment horizontal="left" vertical="center"/>
    </xf>
    <xf numFmtId="0" fontId="0" fillId="2" borderId="124" xfId="0" applyFill="1" applyBorder="1" applyAlignment="1">
      <alignment horizontal="left" vertical="top" wrapText="1"/>
    </xf>
    <xf numFmtId="0" fontId="4" fillId="2" borderId="14" xfId="0" applyFont="1" applyFill="1" applyBorder="1" applyAlignment="1">
      <alignment horizontal="left" vertical="top" wrapText="1"/>
    </xf>
    <xf numFmtId="0" fontId="4" fillId="2" borderId="131" xfId="0" applyFont="1" applyFill="1" applyBorder="1" applyAlignment="1">
      <alignment horizontal="left" vertical="top" wrapText="1"/>
    </xf>
    <xf numFmtId="0" fontId="2" fillId="2" borderId="134"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30" xfId="0" applyFont="1" applyFill="1" applyBorder="1" applyAlignment="1">
      <alignment horizontal="left" vertical="top" wrapText="1"/>
    </xf>
    <xf numFmtId="0" fontId="4" fillId="2" borderId="43" xfId="0" applyFont="1" applyFill="1" applyBorder="1" applyAlignment="1">
      <alignment horizontal="left" vertical="center"/>
    </xf>
    <xf numFmtId="0" fontId="4" fillId="2" borderId="24" xfId="0" applyFont="1" applyFill="1" applyBorder="1" applyAlignment="1">
      <alignment horizontal="left" vertical="center"/>
    </xf>
    <xf numFmtId="0" fontId="4" fillId="2" borderId="44" xfId="0" applyFont="1" applyFill="1" applyBorder="1" applyAlignment="1">
      <alignment horizontal="left" vertical="center"/>
    </xf>
    <xf numFmtId="9" fontId="21" fillId="2" borderId="35" xfId="3" applyFont="1" applyFill="1" applyBorder="1" applyAlignment="1">
      <alignment horizontal="left" vertical="center" wrapText="1"/>
    </xf>
    <xf numFmtId="9" fontId="21" fillId="2" borderId="0" xfId="3" applyFont="1" applyFill="1" applyBorder="1" applyAlignment="1">
      <alignment horizontal="left" vertical="center" wrapText="1"/>
    </xf>
    <xf numFmtId="9" fontId="21" fillId="2" borderId="26" xfId="3" applyFont="1" applyFill="1" applyBorder="1" applyAlignment="1">
      <alignment horizontal="left" vertical="center" wrapText="1"/>
    </xf>
    <xf numFmtId="0" fontId="93" fillId="2" borderId="26" xfId="0" applyFont="1" applyFill="1" applyBorder="1" applyAlignment="1">
      <alignment horizontal="left" vertical="center" wrapText="1"/>
    </xf>
    <xf numFmtId="9" fontId="21" fillId="2" borderId="108" xfId="3" applyFont="1" applyFill="1" applyBorder="1" applyAlignment="1">
      <alignment horizontal="left" vertical="center" wrapText="1"/>
    </xf>
    <xf numFmtId="0" fontId="90" fillId="7" borderId="71" xfId="0" applyFont="1" applyFill="1" applyBorder="1" applyAlignment="1">
      <alignment horizontal="left" wrapText="1"/>
    </xf>
    <xf numFmtId="0" fontId="90" fillId="7" borderId="110" xfId="0" applyFont="1" applyFill="1" applyBorder="1" applyAlignment="1">
      <alignment horizontal="left" wrapText="1"/>
    </xf>
    <xf numFmtId="0" fontId="0" fillId="3" borderId="3" xfId="0" applyFill="1" applyBorder="1" applyAlignment="1">
      <alignment horizontal="left" vertical="top" wrapText="1"/>
    </xf>
    <xf numFmtId="0" fontId="0" fillId="3" borderId="0" xfId="0" applyFill="1" applyBorder="1" applyAlignment="1">
      <alignment horizontal="left" vertical="top" wrapText="1"/>
    </xf>
    <xf numFmtId="0" fontId="1" fillId="3" borderId="148" xfId="1" applyFill="1" applyBorder="1" applyAlignment="1">
      <alignment horizontal="left" wrapText="1"/>
    </xf>
    <xf numFmtId="0" fontId="1" fillId="3" borderId="4" xfId="1" applyFill="1" applyBorder="1" applyAlignment="1">
      <alignment horizontal="left" wrapText="1"/>
    </xf>
    <xf numFmtId="0" fontId="5" fillId="2" borderId="35"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26" xfId="0" applyFont="1" applyFill="1" applyBorder="1" applyAlignment="1">
      <alignment horizontal="left" vertical="center" wrapText="1"/>
    </xf>
    <xf numFmtId="0" fontId="0" fillId="2" borderId="0" xfId="0" applyFill="1" applyAlignment="1">
      <alignment horizontal="center" vertical="center" wrapText="1"/>
    </xf>
    <xf numFmtId="0" fontId="0" fillId="7" borderId="0" xfId="0" applyFill="1" applyBorder="1" applyAlignment="1">
      <alignment horizontal="left" vertical="center" wrapText="1"/>
    </xf>
    <xf numFmtId="0" fontId="4" fillId="2" borderId="57" xfId="0" applyFont="1" applyFill="1" applyBorder="1" applyAlignment="1">
      <alignment horizontal="left" vertical="center"/>
    </xf>
    <xf numFmtId="0" fontId="0" fillId="2" borderId="81" xfId="0" applyFill="1" applyBorder="1" applyAlignment="1">
      <alignment horizontal="center" vertical="center"/>
    </xf>
    <xf numFmtId="0" fontId="0" fillId="2" borderId="76" xfId="0" applyFill="1" applyBorder="1" applyAlignment="1">
      <alignment horizontal="center" vertical="center"/>
    </xf>
    <xf numFmtId="0" fontId="47" fillId="2" borderId="81" xfId="0" applyFont="1" applyFill="1" applyBorder="1" applyAlignment="1">
      <alignment horizontal="center" vertical="center" wrapText="1"/>
    </xf>
    <xf numFmtId="0" fontId="47" fillId="2" borderId="76" xfId="0" applyFont="1" applyFill="1" applyBorder="1" applyAlignment="1">
      <alignment horizontal="center" vertical="center" wrapText="1"/>
    </xf>
    <xf numFmtId="0" fontId="85" fillId="0" borderId="0" xfId="0" applyFont="1" applyAlignment="1">
      <alignment horizontal="center" vertical="center"/>
    </xf>
    <xf numFmtId="0" fontId="83" fillId="2" borderId="26" xfId="0" applyFont="1" applyFill="1" applyBorder="1" applyAlignment="1">
      <alignment horizontal="center" vertical="center" wrapText="1"/>
    </xf>
    <xf numFmtId="0" fontId="23" fillId="2" borderId="35" xfId="0" applyFont="1" applyFill="1" applyBorder="1" applyAlignment="1">
      <alignment horizontal="left"/>
    </xf>
    <xf numFmtId="0" fontId="23" fillId="2" borderId="35" xfId="0" applyFont="1" applyFill="1" applyBorder="1" applyAlignment="1">
      <alignment horizontal="center" wrapText="1"/>
    </xf>
    <xf numFmtId="0" fontId="0" fillId="2" borderId="35" xfId="0" applyFill="1" applyBorder="1" applyAlignment="1">
      <alignment horizontal="left" wrapText="1"/>
    </xf>
    <xf numFmtId="165" fontId="110" fillId="2" borderId="35" xfId="2" applyNumberFormat="1" applyFont="1" applyFill="1" applyBorder="1" applyAlignment="1">
      <alignment horizontal="left" vertical="center" shrinkToFit="1"/>
    </xf>
    <xf numFmtId="165" fontId="110" fillId="2" borderId="37" xfId="2" applyNumberFormat="1" applyFont="1" applyFill="1" applyBorder="1" applyAlignment="1">
      <alignment horizontal="left" shrinkToFit="1"/>
    </xf>
    <xf numFmtId="165" fontId="2" fillId="2" borderId="7" xfId="2" applyNumberFormat="1" applyFont="1" applyFill="1" applyBorder="1" applyAlignment="1">
      <alignment horizontal="left" vertical="center" shrinkToFit="1"/>
    </xf>
    <xf numFmtId="44" fontId="2" fillId="2" borderId="7" xfId="2" applyFont="1" applyFill="1" applyBorder="1" applyAlignment="1">
      <alignment horizontal="left" vertical="center" shrinkToFit="1"/>
    </xf>
    <xf numFmtId="0" fontId="5" fillId="2" borderId="43"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2" fillId="7" borderId="111" xfId="0" applyFont="1" applyFill="1" applyBorder="1" applyAlignment="1">
      <alignment horizontal="left" vertical="top" wrapText="1"/>
    </xf>
    <xf numFmtId="0" fontId="2" fillId="7" borderId="112" xfId="0" applyFont="1" applyFill="1" applyBorder="1" applyAlignment="1">
      <alignment horizontal="left" vertical="top" wrapText="1"/>
    </xf>
    <xf numFmtId="0" fontId="2" fillId="7" borderId="113" xfId="0" applyFont="1" applyFill="1" applyBorder="1" applyAlignment="1">
      <alignment horizontal="left" vertical="top" wrapText="1"/>
    </xf>
    <xf numFmtId="0" fontId="2" fillId="7" borderId="114"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115" xfId="0" applyFont="1" applyFill="1" applyBorder="1" applyAlignment="1">
      <alignment horizontal="left" vertical="top" wrapText="1"/>
    </xf>
    <xf numFmtId="0" fontId="106" fillId="7" borderId="112" xfId="0" applyFont="1" applyFill="1" applyBorder="1" applyAlignment="1">
      <alignment horizontal="left" wrapText="1"/>
    </xf>
    <xf numFmtId="0" fontId="106" fillId="7" borderId="113" xfId="0" applyFont="1" applyFill="1" applyBorder="1" applyAlignment="1">
      <alignment horizontal="left" wrapText="1"/>
    </xf>
    <xf numFmtId="0" fontId="2" fillId="3" borderId="114" xfId="0" applyFont="1" applyFill="1" applyBorder="1" applyAlignment="1">
      <alignment horizontal="left" vertical="top"/>
    </xf>
    <xf numFmtId="0" fontId="62" fillId="2" borderId="43" xfId="0" applyFont="1" applyFill="1" applyBorder="1" applyAlignment="1">
      <alignment horizontal="left" vertical="top" wrapText="1"/>
    </xf>
    <xf numFmtId="0" fontId="62" fillId="2" borderId="24" xfId="0" applyFont="1" applyFill="1" applyBorder="1" applyAlignment="1">
      <alignment horizontal="left" vertical="top" wrapText="1"/>
    </xf>
    <xf numFmtId="0" fontId="62" fillId="2" borderId="44" xfId="0" applyFont="1" applyFill="1" applyBorder="1" applyAlignment="1">
      <alignment horizontal="left" vertical="top" wrapText="1"/>
    </xf>
    <xf numFmtId="0" fontId="4" fillId="2" borderId="35" xfId="0" applyFont="1" applyFill="1" applyBorder="1" applyAlignment="1">
      <alignment horizontal="left" vertical="center"/>
    </xf>
    <xf numFmtId="0" fontId="4" fillId="2" borderId="26" xfId="0" applyFont="1" applyFill="1" applyBorder="1" applyAlignment="1">
      <alignment horizontal="left" vertical="center"/>
    </xf>
    <xf numFmtId="165" fontId="2" fillId="13" borderId="52" xfId="2" applyNumberFormat="1" applyFont="1" applyFill="1" applyBorder="1" applyAlignment="1">
      <alignment horizontal="left" vertical="center" shrinkToFit="1"/>
    </xf>
    <xf numFmtId="0" fontId="54" fillId="2" borderId="26" xfId="0" applyFont="1" applyFill="1" applyBorder="1" applyAlignment="1">
      <alignment horizontal="center" vertical="top" wrapText="1"/>
    </xf>
    <xf numFmtId="0" fontId="25" fillId="2" borderId="35" xfId="0" applyFont="1" applyFill="1" applyBorder="1" applyAlignment="1">
      <alignment horizontal="center" wrapText="1"/>
    </xf>
    <xf numFmtId="0" fontId="25" fillId="2" borderId="0" xfId="0" applyFont="1" applyFill="1" applyAlignment="1">
      <alignment horizontal="center" wrapText="1"/>
    </xf>
    <xf numFmtId="0" fontId="25" fillId="2" borderId="26" xfId="0" applyFont="1" applyFill="1" applyBorder="1" applyAlignment="1">
      <alignment horizontal="center" wrapText="1"/>
    </xf>
    <xf numFmtId="0" fontId="25" fillId="2" borderId="43" xfId="0" applyFont="1" applyFill="1" applyBorder="1" applyAlignment="1">
      <alignment horizontal="center" wrapText="1"/>
    </xf>
    <xf numFmtId="0" fontId="25" fillId="2" borderId="24" xfId="0" applyFont="1" applyFill="1" applyBorder="1" applyAlignment="1">
      <alignment horizontal="center" wrapText="1"/>
    </xf>
    <xf numFmtId="0" fontId="25" fillId="2" borderId="44" xfId="0" applyFont="1" applyFill="1" applyBorder="1" applyAlignment="1">
      <alignment horizontal="center" wrapText="1"/>
    </xf>
    <xf numFmtId="0" fontId="4" fillId="2" borderId="40" xfId="0" applyFont="1" applyFill="1" applyBorder="1" applyAlignment="1">
      <alignment horizontal="left"/>
    </xf>
    <xf numFmtId="0" fontId="4" fillId="2" borderId="25" xfId="0" applyFont="1" applyFill="1" applyBorder="1" applyAlignment="1">
      <alignment horizontal="left"/>
    </xf>
    <xf numFmtId="0" fontId="106" fillId="7" borderId="80" xfId="0" applyFont="1" applyFill="1" applyBorder="1" applyAlignment="1">
      <alignment horizontal="left" wrapText="1"/>
    </xf>
    <xf numFmtId="0" fontId="2" fillId="3" borderId="117" xfId="0" applyFont="1" applyFill="1" applyBorder="1" applyAlignment="1">
      <alignment horizontal="left" vertical="top" wrapText="1"/>
    </xf>
    <xf numFmtId="0" fontId="2" fillId="7" borderId="80" xfId="0" applyFont="1" applyFill="1" applyBorder="1" applyAlignment="1">
      <alignment horizontal="left" vertical="center" wrapText="1"/>
    </xf>
    <xf numFmtId="0" fontId="2" fillId="7" borderId="117" xfId="0" applyFont="1" applyFill="1" applyBorder="1" applyAlignment="1">
      <alignment horizontal="left" vertical="center" wrapText="1"/>
    </xf>
    <xf numFmtId="0" fontId="2" fillId="7" borderId="109" xfId="0" applyFont="1" applyFill="1" applyBorder="1" applyAlignment="1">
      <alignment horizontal="left" vertical="center" wrapText="1"/>
    </xf>
    <xf numFmtId="0" fontId="4" fillId="2" borderId="149" xfId="0" applyFont="1" applyFill="1" applyBorder="1" applyAlignment="1">
      <alignment horizontal="left" vertical="center"/>
    </xf>
    <xf numFmtId="0" fontId="4" fillId="2" borderId="150" xfId="0" applyFont="1" applyFill="1" applyBorder="1" applyAlignment="1">
      <alignment horizontal="left" vertical="center"/>
    </xf>
    <xf numFmtId="0" fontId="4" fillId="2" borderId="65" xfId="0" applyFont="1" applyFill="1" applyBorder="1" applyAlignment="1">
      <alignment horizontal="left" vertical="center"/>
    </xf>
    <xf numFmtId="0" fontId="4" fillId="2" borderId="61" xfId="0" applyFont="1" applyFill="1" applyBorder="1" applyAlignment="1">
      <alignment horizontal="left" vertical="center"/>
    </xf>
    <xf numFmtId="0" fontId="4" fillId="2" borderId="161" xfId="0" applyFont="1" applyFill="1" applyBorder="1" applyAlignment="1">
      <alignment horizontal="left" vertical="center"/>
    </xf>
    <xf numFmtId="0" fontId="4" fillId="2" borderId="125" xfId="0" applyFont="1" applyFill="1" applyBorder="1" applyAlignment="1">
      <alignment horizontal="left" vertical="center"/>
    </xf>
    <xf numFmtId="9" fontId="21" fillId="2" borderId="97" xfId="3" applyFont="1" applyFill="1" applyBorder="1" applyAlignment="1">
      <alignment horizontal="left" vertical="top" wrapText="1"/>
    </xf>
    <xf numFmtId="9" fontId="21" fillId="2" borderId="153" xfId="3" applyFont="1" applyFill="1" applyBorder="1" applyAlignment="1">
      <alignment horizontal="left" vertical="top" wrapText="1"/>
    </xf>
    <xf numFmtId="9" fontId="21" fillId="2" borderId="193" xfId="3" applyFont="1" applyFill="1" applyBorder="1" applyAlignment="1">
      <alignment horizontal="left" vertical="top" wrapText="1"/>
    </xf>
    <xf numFmtId="9" fontId="21" fillId="2" borderId="194" xfId="3" applyFont="1" applyFill="1" applyBorder="1" applyAlignment="1">
      <alignment horizontal="left" vertical="top" wrapText="1"/>
    </xf>
    <xf numFmtId="0" fontId="97" fillId="2" borderId="35" xfId="0" applyFont="1" applyFill="1" applyBorder="1" applyAlignment="1">
      <alignment horizontal="left" vertical="center" wrapText="1"/>
    </xf>
    <xf numFmtId="0" fontId="25" fillId="2" borderId="35" xfId="0" applyFont="1" applyFill="1" applyBorder="1" applyAlignment="1">
      <alignment horizontal="left" vertical="center" wrapText="1"/>
    </xf>
    <xf numFmtId="0" fontId="25" fillId="2" borderId="125" xfId="0" applyFont="1" applyFill="1" applyBorder="1" applyAlignment="1">
      <alignment horizontal="left" vertical="center" wrapText="1"/>
    </xf>
    <xf numFmtId="0" fontId="25" fillId="2" borderId="54" xfId="0" applyFont="1" applyFill="1" applyBorder="1" applyAlignment="1">
      <alignment horizontal="left" vertical="center" wrapText="1"/>
    </xf>
    <xf numFmtId="0" fontId="25" fillId="2" borderId="126" xfId="0" applyFont="1" applyFill="1" applyBorder="1" applyAlignment="1">
      <alignment horizontal="left" vertical="center" wrapText="1"/>
    </xf>
    <xf numFmtId="0" fontId="55" fillId="4" borderId="175" xfId="0" applyFont="1" applyFill="1" applyBorder="1" applyAlignment="1">
      <alignment horizontal="left"/>
    </xf>
    <xf numFmtId="0" fontId="55" fillId="4" borderId="176" xfId="0" applyFont="1" applyFill="1" applyBorder="1" applyAlignment="1">
      <alignment horizontal="left"/>
    </xf>
    <xf numFmtId="0" fontId="55" fillId="4" borderId="177" xfId="0" applyFont="1" applyFill="1" applyBorder="1" applyAlignment="1">
      <alignment horizontal="left"/>
    </xf>
    <xf numFmtId="0" fontId="2" fillId="7" borderId="170" xfId="0" applyFont="1" applyFill="1" applyBorder="1" applyAlignment="1">
      <alignment horizontal="left" vertical="top" wrapText="1"/>
    </xf>
    <xf numFmtId="0" fontId="2" fillId="7" borderId="94" xfId="0" applyFont="1" applyFill="1" applyBorder="1" applyAlignment="1">
      <alignment horizontal="left" vertical="top" wrapText="1"/>
    </xf>
    <xf numFmtId="0" fontId="2" fillId="7" borderId="171" xfId="0" applyFont="1" applyFill="1" applyBorder="1" applyAlignment="1">
      <alignment horizontal="left" vertical="top" wrapText="1"/>
    </xf>
    <xf numFmtId="0" fontId="2" fillId="7" borderId="172" xfId="0" applyFont="1" applyFill="1" applyBorder="1" applyAlignment="1">
      <alignment horizontal="left" vertical="top" wrapText="1"/>
    </xf>
    <xf numFmtId="0" fontId="2" fillId="7" borderId="173" xfId="0" applyFont="1" applyFill="1" applyBorder="1" applyAlignment="1">
      <alignment horizontal="left" vertical="top" wrapText="1"/>
    </xf>
    <xf numFmtId="0" fontId="2" fillId="7" borderId="174" xfId="0" applyFont="1" applyFill="1" applyBorder="1" applyAlignment="1">
      <alignment horizontal="left" vertical="top" wrapText="1"/>
    </xf>
    <xf numFmtId="0" fontId="106" fillId="7" borderId="170" xfId="0" applyFont="1" applyFill="1" applyBorder="1" applyAlignment="1">
      <alignment horizontal="left" wrapText="1"/>
    </xf>
    <xf numFmtId="0" fontId="106" fillId="7" borderId="94" xfId="0" applyFont="1" applyFill="1" applyBorder="1" applyAlignment="1">
      <alignment horizontal="left" wrapText="1"/>
    </xf>
    <xf numFmtId="0" fontId="106" fillId="7" borderId="171" xfId="0" applyFont="1" applyFill="1" applyBorder="1" applyAlignment="1">
      <alignment horizontal="left" wrapText="1"/>
    </xf>
    <xf numFmtId="0" fontId="2" fillId="3" borderId="170" xfId="0" applyFont="1" applyFill="1" applyBorder="1" applyAlignment="1">
      <alignment horizontal="left" vertical="top"/>
    </xf>
    <xf numFmtId="0" fontId="2" fillId="3" borderId="94" xfId="0" applyFont="1" applyFill="1" applyBorder="1" applyAlignment="1">
      <alignment horizontal="left" vertical="top"/>
    </xf>
    <xf numFmtId="0" fontId="105" fillId="3" borderId="172" xfId="1" applyFont="1" applyFill="1" applyBorder="1" applyAlignment="1">
      <alignment horizontal="left" wrapText="1"/>
    </xf>
    <xf numFmtId="0" fontId="105" fillId="3" borderId="173" xfId="1" applyFont="1" applyFill="1" applyBorder="1" applyAlignment="1">
      <alignment horizontal="left" wrapText="1"/>
    </xf>
    <xf numFmtId="0" fontId="105" fillId="3" borderId="174" xfId="1" applyFont="1" applyFill="1" applyBorder="1" applyAlignment="1">
      <alignment horizontal="left" wrapText="1"/>
    </xf>
    <xf numFmtId="0" fontId="55" fillId="4" borderId="116" xfId="0" applyFont="1" applyFill="1" applyBorder="1" applyAlignment="1">
      <alignment horizontal="left" vertical="center"/>
    </xf>
    <xf numFmtId="0" fontId="55" fillId="4" borderId="61" xfId="0" applyFont="1" applyFill="1" applyBorder="1" applyAlignment="1">
      <alignment horizontal="left" vertical="center"/>
    </xf>
    <xf numFmtId="0" fontId="55" fillId="4" borderId="109" xfId="0" applyFont="1" applyFill="1" applyBorder="1" applyAlignment="1">
      <alignment horizontal="left" vertical="center"/>
    </xf>
    <xf numFmtId="0" fontId="2" fillId="2" borderId="3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158" fillId="14" borderId="40" xfId="0" applyFont="1" applyFill="1" applyBorder="1" applyAlignment="1">
      <alignment horizontal="left" vertical="center" wrapText="1"/>
    </xf>
    <xf numFmtId="0" fontId="158" fillId="14" borderId="25" xfId="0" applyFont="1" applyFill="1" applyBorder="1" applyAlignment="1">
      <alignment horizontal="left" vertical="center" wrapText="1"/>
    </xf>
    <xf numFmtId="0" fontId="158" fillId="14" borderId="32" xfId="0" applyFont="1" applyFill="1" applyBorder="1" applyAlignment="1">
      <alignment horizontal="left" vertical="center" wrapText="1"/>
    </xf>
    <xf numFmtId="0" fontId="25" fillId="2" borderId="0" xfId="0" applyFont="1" applyFill="1" applyAlignment="1">
      <alignment horizontal="center" vertical="center" wrapText="1"/>
    </xf>
    <xf numFmtId="0" fontId="25" fillId="2" borderId="0" xfId="0" applyFont="1" applyFill="1" applyAlignment="1">
      <alignment horizontal="center" vertical="center"/>
    </xf>
    <xf numFmtId="0" fontId="21" fillId="2" borderId="35" xfId="0" applyFont="1" applyFill="1" applyBorder="1" applyAlignment="1">
      <alignment horizontal="left" vertical="center" wrapText="1"/>
    </xf>
    <xf numFmtId="0" fontId="21" fillId="2" borderId="0" xfId="0" applyFont="1" applyFill="1" applyAlignment="1">
      <alignment horizontal="left" vertical="center" wrapText="1"/>
    </xf>
    <xf numFmtId="0" fontId="21" fillId="2" borderId="35" xfId="0" applyFont="1" applyFill="1" applyBorder="1" applyAlignment="1">
      <alignment horizontal="left" wrapText="1"/>
    </xf>
    <xf numFmtId="0" fontId="21" fillId="2" borderId="0" xfId="0" applyFont="1" applyFill="1" applyAlignment="1">
      <alignment horizontal="left" wrapText="1"/>
    </xf>
    <xf numFmtId="0" fontId="55" fillId="2" borderId="180" xfId="0" applyFont="1" applyFill="1" applyBorder="1" applyAlignment="1">
      <alignment horizontal="left" vertical="center" wrapText="1"/>
    </xf>
    <xf numFmtId="0" fontId="55" fillId="2" borderId="150" xfId="0" applyFont="1" applyFill="1" applyBorder="1" applyAlignment="1">
      <alignment horizontal="left" vertical="center" wrapText="1"/>
    </xf>
    <xf numFmtId="0" fontId="55" fillId="2" borderId="182" xfId="0" applyFont="1" applyFill="1" applyBorder="1" applyAlignment="1">
      <alignment horizontal="left" vertical="center" wrapText="1"/>
    </xf>
    <xf numFmtId="0" fontId="55" fillId="2" borderId="57" xfId="0" applyFont="1" applyFill="1" applyBorder="1" applyAlignment="1">
      <alignment horizontal="left" vertical="center" wrapText="1"/>
    </xf>
    <xf numFmtId="0" fontId="55" fillId="2" borderId="0" xfId="0" applyFont="1" applyFill="1" applyAlignment="1">
      <alignment horizontal="left" vertical="center" wrapText="1"/>
    </xf>
    <xf numFmtId="0" fontId="55" fillId="2" borderId="108" xfId="0" applyFont="1" applyFill="1" applyBorder="1" applyAlignment="1">
      <alignment horizontal="left" vertical="center" wrapText="1"/>
    </xf>
    <xf numFmtId="0" fontId="23" fillId="2" borderId="35" xfId="0" applyFont="1" applyFill="1" applyBorder="1" applyAlignment="1">
      <alignment horizontal="left" wrapText="1"/>
    </xf>
    <xf numFmtId="0" fontId="23" fillId="2" borderId="0" xfId="0" applyFont="1" applyFill="1" applyAlignment="1">
      <alignment horizontal="left" wrapText="1"/>
    </xf>
    <xf numFmtId="0" fontId="1" fillId="3" borderId="116" xfId="1" applyFill="1" applyBorder="1" applyAlignment="1">
      <alignment horizontal="left" wrapText="1"/>
    </xf>
    <xf numFmtId="0" fontId="1" fillId="3" borderId="61" xfId="1" applyFill="1" applyBorder="1" applyAlignment="1">
      <alignment horizontal="left" wrapText="1"/>
    </xf>
    <xf numFmtId="0" fontId="1" fillId="3" borderId="109" xfId="1" applyFill="1" applyBorder="1" applyAlignment="1">
      <alignment horizontal="left" wrapText="1"/>
    </xf>
    <xf numFmtId="0" fontId="21" fillId="7" borderId="114" xfId="0" applyFont="1" applyFill="1" applyBorder="1" applyAlignment="1">
      <alignment horizontal="left" vertical="center" wrapText="1"/>
    </xf>
    <xf numFmtId="0" fontId="21" fillId="7" borderId="0" xfId="0" applyFont="1" applyFill="1" applyAlignment="1">
      <alignment horizontal="left" vertical="center" wrapText="1"/>
    </xf>
    <xf numFmtId="0" fontId="21" fillId="7" borderId="117" xfId="0" applyFont="1" applyFill="1" applyBorder="1" applyAlignment="1">
      <alignment horizontal="left" vertical="center" wrapText="1"/>
    </xf>
    <xf numFmtId="0" fontId="55" fillId="2" borderId="180" xfId="0" applyFont="1" applyFill="1" applyBorder="1" applyAlignment="1">
      <alignment horizontal="left" vertical="center"/>
    </xf>
    <xf numFmtId="0" fontId="55" fillId="2" borderId="150" xfId="0" applyFont="1" applyFill="1" applyBorder="1" applyAlignment="1">
      <alignment horizontal="left" vertical="center"/>
    </xf>
    <xf numFmtId="0" fontId="55" fillId="2" borderId="182" xfId="0" applyFont="1" applyFill="1" applyBorder="1" applyAlignment="1">
      <alignment horizontal="left" vertical="center"/>
    </xf>
    <xf numFmtId="0" fontId="55" fillId="2" borderId="57" xfId="0" applyFont="1" applyFill="1" applyBorder="1" applyAlignment="1">
      <alignment horizontal="left" vertical="center"/>
    </xf>
    <xf numFmtId="0" fontId="55" fillId="2" borderId="0" xfId="0" applyFont="1" applyFill="1" applyAlignment="1">
      <alignment horizontal="left" vertical="center"/>
    </xf>
    <xf numFmtId="0" fontId="55" fillId="2" borderId="108" xfId="0" applyFont="1" applyFill="1" applyBorder="1" applyAlignment="1">
      <alignment horizontal="left" vertical="center"/>
    </xf>
    <xf numFmtId="0" fontId="55" fillId="2" borderId="181" xfId="0" applyFont="1" applyFill="1" applyBorder="1" applyAlignment="1">
      <alignment horizontal="left" vertical="center"/>
    </xf>
    <xf numFmtId="0" fontId="55" fillId="2" borderId="163" xfId="0" applyFont="1" applyFill="1" applyBorder="1" applyAlignment="1">
      <alignment horizontal="left" vertical="center"/>
    </xf>
    <xf numFmtId="0" fontId="54" fillId="0" borderId="108" xfId="0" applyFont="1" applyBorder="1" applyAlignment="1">
      <alignment horizontal="center" vertical="center" wrapText="1"/>
    </xf>
    <xf numFmtId="165" fontId="2" fillId="13" borderId="76" xfId="2" applyNumberFormat="1" applyFont="1" applyFill="1" applyBorder="1" applyAlignment="1">
      <alignment horizontal="left" vertical="center" shrinkToFit="1"/>
    </xf>
    <xf numFmtId="9" fontId="21" fillId="2" borderId="125" xfId="3" applyFont="1" applyFill="1" applyBorder="1" applyAlignment="1">
      <alignment horizontal="left" vertical="center" wrapText="1"/>
    </xf>
  </cellXfs>
  <cellStyles count="6">
    <cellStyle name="Comma" xfId="5" builtinId="3"/>
    <cellStyle name="Currency" xfId="2" builtinId="4"/>
    <cellStyle name="Currency 2" xfId="4" xr:uid="{E2681008-7A0A-4808-8A10-708003198863}"/>
    <cellStyle name="Hyperlink" xfId="1" builtinId="8"/>
    <cellStyle name="Normal" xfId="0" builtinId="0"/>
    <cellStyle name="Percent" xfId="3" builtinId="5"/>
  </cellStyles>
  <dxfs count="0"/>
  <tableStyles count="0" defaultTableStyle="TableStyleMedium2" defaultPivotStyle="PivotStyleMedium9"/>
  <colors>
    <mruColors>
      <color rgb="FFFFF9D9"/>
      <color rgb="FFFFF9E7"/>
      <color rgb="FFFFFFE1"/>
      <color rgb="FFFFFFCC"/>
      <color rgb="FFC4EDFF"/>
      <color rgb="FF1F4E78"/>
      <color rgb="FF5859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7.png"/></Relationships>
</file>

<file path=xl/drawings/_rels/drawing15.xml.rels><?xml version="1.0" encoding="UTF-8" standalone="yes"?>
<Relationships xmlns="http://schemas.openxmlformats.org/package/2006/relationships"><Relationship Id="rId1" Type="http://schemas.openxmlformats.org/officeDocument/2006/relationships/image" Target="../media/image7.png"/></Relationships>
</file>

<file path=xl/drawings/_rels/drawing16.xml.rels><?xml version="1.0" encoding="UTF-8" standalone="yes"?>
<Relationships xmlns="http://schemas.openxmlformats.org/package/2006/relationships"><Relationship Id="rId1" Type="http://schemas.openxmlformats.org/officeDocument/2006/relationships/image" Target="../media/image7.png"/></Relationships>
</file>

<file path=xl/drawings/_rels/drawing17.xml.rels><?xml version="1.0" encoding="UTF-8" standalone="yes"?>
<Relationships xmlns="http://schemas.openxmlformats.org/package/2006/relationships"><Relationship Id="rId1" Type="http://schemas.openxmlformats.org/officeDocument/2006/relationships/image" Target="../media/image7.png"/></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7.png"/></Relationships>
</file>

<file path=xl/drawings/_rels/drawing21.xml.rels><?xml version="1.0" encoding="UTF-8" standalone="yes"?>
<Relationships xmlns="http://schemas.openxmlformats.org/package/2006/relationships"><Relationship Id="rId1" Type="http://schemas.openxmlformats.org/officeDocument/2006/relationships/image" Target="../media/image7.png"/></Relationships>
</file>

<file path=xl/drawings/_rels/drawing2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23.xml.rels><?xml version="1.0" encoding="UTF-8" standalone="yes"?>
<Relationships xmlns="http://schemas.openxmlformats.org/package/2006/relationships"><Relationship Id="rId1" Type="http://schemas.openxmlformats.org/officeDocument/2006/relationships/image" Target="../media/image7.png"/></Relationships>
</file>

<file path=xl/drawings/_rels/drawing24.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465667</xdr:colOff>
      <xdr:row>0</xdr:row>
      <xdr:rowOff>173145</xdr:rowOff>
    </xdr:from>
    <xdr:to>
      <xdr:col>1</xdr:col>
      <xdr:colOff>2725631</xdr:colOff>
      <xdr:row>1</xdr:row>
      <xdr:rowOff>360681</xdr:rowOff>
    </xdr:to>
    <xdr:pic>
      <xdr:nvPicPr>
        <xdr:cNvPr id="6" name="Picture 3">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667" y="173145"/>
          <a:ext cx="2888191" cy="487679"/>
        </a:xfrm>
        <a:prstGeom prst="rect">
          <a:avLst/>
        </a:prstGeom>
      </xdr:spPr>
    </xdr:pic>
    <xdr:clientData/>
  </xdr:twoCellAnchor>
  <xdr:twoCellAnchor>
    <xdr:from>
      <xdr:col>0</xdr:col>
      <xdr:colOff>465666</xdr:colOff>
      <xdr:row>3</xdr:row>
      <xdr:rowOff>45239</xdr:rowOff>
    </xdr:from>
    <xdr:to>
      <xdr:col>4</xdr:col>
      <xdr:colOff>2995083</xdr:colOff>
      <xdr:row>3</xdr:row>
      <xdr:rowOff>45239</xdr:rowOff>
    </xdr:to>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465666" y="1696239"/>
          <a:ext cx="13165667" cy="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oneCellAnchor>
    <xdr:from>
      <xdr:col>2</xdr:col>
      <xdr:colOff>2117249</xdr:colOff>
      <xdr:row>27</xdr:row>
      <xdr:rowOff>169757</xdr:rowOff>
    </xdr:from>
    <xdr:ext cx="8179093" cy="3216910"/>
    <xdr:pic>
      <xdr:nvPicPr>
        <xdr:cNvPr id="4" name="Picture 4">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5376916" y="7059507"/>
          <a:ext cx="8179093" cy="3216910"/>
        </a:xfrm>
        <a:prstGeom prst="rect">
          <a:avLst/>
        </a:prstGeom>
      </xdr:spPr>
    </xdr:pic>
    <xdr:clientData/>
  </xdr:oneCellAnchor>
  <xdr:twoCellAnchor editAs="oneCell">
    <xdr:from>
      <xdr:col>1</xdr:col>
      <xdr:colOff>552450</xdr:colOff>
      <xdr:row>0</xdr:row>
      <xdr:rowOff>180975</xdr:rowOff>
    </xdr:from>
    <xdr:to>
      <xdr:col>1</xdr:col>
      <xdr:colOff>2438400</xdr:colOff>
      <xdr:row>0</xdr:row>
      <xdr:rowOff>498365</xdr:rowOff>
    </xdr:to>
    <xdr:pic>
      <xdr:nvPicPr>
        <xdr:cNvPr id="5" name="Picture 4">
          <a:extLst>
            <a:ext uri="{FF2B5EF4-FFF2-40B4-BE49-F238E27FC236}">
              <a16:creationId xmlns:a16="http://schemas.microsoft.com/office/drawing/2014/main" id="{AF3E5589-AB64-41B7-8ACC-95A9D67963A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3425" y="180975"/>
          <a:ext cx="1885950" cy="31844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371236</xdr:colOff>
      <xdr:row>0</xdr:row>
      <xdr:rowOff>180975</xdr:rowOff>
    </xdr:from>
    <xdr:ext cx="1903012" cy="314325"/>
    <xdr:pic>
      <xdr:nvPicPr>
        <xdr:cNvPr id="2" name="Picture 1">
          <a:extLst>
            <a:ext uri="{FF2B5EF4-FFF2-40B4-BE49-F238E27FC236}">
              <a16:creationId xmlns:a16="http://schemas.microsoft.com/office/drawing/2014/main" id="{6AEEC0B2-A5BC-4EAD-9592-400421B937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81" y="179070"/>
          <a:ext cx="1903012" cy="314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1</xdr:col>
      <xdr:colOff>552450</xdr:colOff>
      <xdr:row>0</xdr:row>
      <xdr:rowOff>180975</xdr:rowOff>
    </xdr:from>
    <xdr:to>
      <xdr:col>1</xdr:col>
      <xdr:colOff>2438400</xdr:colOff>
      <xdr:row>0</xdr:row>
      <xdr:rowOff>514663</xdr:rowOff>
    </xdr:to>
    <xdr:pic>
      <xdr:nvPicPr>
        <xdr:cNvPr id="4" name="Picture 3">
          <a:extLst>
            <a:ext uri="{FF2B5EF4-FFF2-40B4-BE49-F238E27FC236}">
              <a16:creationId xmlns:a16="http://schemas.microsoft.com/office/drawing/2014/main" id="{94456B7F-4422-4449-B3A6-872E98DADEB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425" y="180975"/>
          <a:ext cx="1885950" cy="31844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556260</xdr:colOff>
      <xdr:row>0</xdr:row>
      <xdr:rowOff>179705</xdr:rowOff>
    </xdr:from>
    <xdr:ext cx="1981200" cy="393700"/>
    <xdr:pic>
      <xdr:nvPicPr>
        <xdr:cNvPr id="2" name="Picture 1">
          <a:extLst>
            <a:ext uri="{FF2B5EF4-FFF2-40B4-BE49-F238E27FC236}">
              <a16:creationId xmlns:a16="http://schemas.microsoft.com/office/drawing/2014/main" id="{3717816E-C9F6-4C7A-AF63-7D793200F89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0" y="177800"/>
          <a:ext cx="1981200" cy="39370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1</xdr:col>
      <xdr:colOff>488949</xdr:colOff>
      <xdr:row>0</xdr:row>
      <xdr:rowOff>133350</xdr:rowOff>
    </xdr:from>
    <xdr:to>
      <xdr:col>1</xdr:col>
      <xdr:colOff>2590800</xdr:colOff>
      <xdr:row>0</xdr:row>
      <xdr:rowOff>498365</xdr:rowOff>
    </xdr:to>
    <xdr:pic>
      <xdr:nvPicPr>
        <xdr:cNvPr id="4" name="Picture 3">
          <a:extLst>
            <a:ext uri="{FF2B5EF4-FFF2-40B4-BE49-F238E27FC236}">
              <a16:creationId xmlns:a16="http://schemas.microsoft.com/office/drawing/2014/main" id="{461CA545-02E9-4C62-B146-6D23D77E92B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924" y="133350"/>
          <a:ext cx="2101851" cy="36501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412749</xdr:colOff>
      <xdr:row>0</xdr:row>
      <xdr:rowOff>133350</xdr:rowOff>
    </xdr:from>
    <xdr:to>
      <xdr:col>1</xdr:col>
      <xdr:colOff>2514600</xdr:colOff>
      <xdr:row>0</xdr:row>
      <xdr:rowOff>498365</xdr:rowOff>
    </xdr:to>
    <xdr:pic>
      <xdr:nvPicPr>
        <xdr:cNvPr id="4" name="Picture 3">
          <a:extLst>
            <a:ext uri="{FF2B5EF4-FFF2-40B4-BE49-F238E27FC236}">
              <a16:creationId xmlns:a16="http://schemas.microsoft.com/office/drawing/2014/main" id="{FF5E06B7-5902-4B1C-AEE3-40C75A26EC3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724" y="133350"/>
          <a:ext cx="2101851" cy="36501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oneCellAnchor>
    <xdr:from>
      <xdr:col>1</xdr:col>
      <xdr:colOff>436032</xdr:colOff>
      <xdr:row>0</xdr:row>
      <xdr:rowOff>143934</xdr:rowOff>
    </xdr:from>
    <xdr:ext cx="2090421" cy="374540"/>
    <xdr:pic>
      <xdr:nvPicPr>
        <xdr:cNvPr id="2" name="Picture 1">
          <a:extLst>
            <a:ext uri="{FF2B5EF4-FFF2-40B4-BE49-F238E27FC236}">
              <a16:creationId xmlns:a16="http://schemas.microsoft.com/office/drawing/2014/main" id="{682F46CD-AD9C-45C1-ABAB-FF3EA29D6F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832" y="143934"/>
          <a:ext cx="2090421" cy="37454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editAs="oneCell">
    <xdr:from>
      <xdr:col>1</xdr:col>
      <xdr:colOff>365124</xdr:colOff>
      <xdr:row>0</xdr:row>
      <xdr:rowOff>161925</xdr:rowOff>
    </xdr:from>
    <xdr:to>
      <xdr:col>1</xdr:col>
      <xdr:colOff>2465070</xdr:colOff>
      <xdr:row>0</xdr:row>
      <xdr:rowOff>525035</xdr:rowOff>
    </xdr:to>
    <xdr:pic>
      <xdr:nvPicPr>
        <xdr:cNvPr id="4" name="Picture 3">
          <a:extLst>
            <a:ext uri="{FF2B5EF4-FFF2-40B4-BE49-F238E27FC236}">
              <a16:creationId xmlns:a16="http://schemas.microsoft.com/office/drawing/2014/main" id="{E3B81806-64E4-4FB0-9A4D-EFAB283467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6099" y="161925"/>
          <a:ext cx="2101851" cy="36501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235373</xdr:colOff>
      <xdr:row>20</xdr:row>
      <xdr:rowOff>27517</xdr:rowOff>
    </xdr:from>
    <xdr:to>
      <xdr:col>5</xdr:col>
      <xdr:colOff>1464945</xdr:colOff>
      <xdr:row>27</xdr:row>
      <xdr:rowOff>289200</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stretch>
          <a:fillRect/>
        </a:stretch>
      </xdr:blipFill>
      <xdr:spPr>
        <a:xfrm>
          <a:off x="2766906" y="3151717"/>
          <a:ext cx="8902701" cy="2936303"/>
        </a:xfrm>
        <a:prstGeom prst="rect">
          <a:avLst/>
        </a:prstGeom>
      </xdr:spPr>
    </xdr:pic>
    <xdr:clientData/>
  </xdr:twoCellAnchor>
  <xdr:twoCellAnchor editAs="oneCell">
    <xdr:from>
      <xdr:col>1</xdr:col>
      <xdr:colOff>298448</xdr:colOff>
      <xdr:row>0</xdr:row>
      <xdr:rowOff>228601</xdr:rowOff>
    </xdr:from>
    <xdr:to>
      <xdr:col>1</xdr:col>
      <xdr:colOff>2400299</xdr:colOff>
      <xdr:row>0</xdr:row>
      <xdr:rowOff>589806</xdr:rowOff>
    </xdr:to>
    <xdr:pic>
      <xdr:nvPicPr>
        <xdr:cNvPr id="4" name="Picture 3">
          <a:extLst>
            <a:ext uri="{FF2B5EF4-FFF2-40B4-BE49-F238E27FC236}">
              <a16:creationId xmlns:a16="http://schemas.microsoft.com/office/drawing/2014/main" id="{F98177B9-0370-49B0-B989-65C5E64C204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8365" y="228601"/>
          <a:ext cx="2101851" cy="36501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460374</xdr:colOff>
      <xdr:row>0</xdr:row>
      <xdr:rowOff>123825</xdr:rowOff>
    </xdr:from>
    <xdr:to>
      <xdr:col>1</xdr:col>
      <xdr:colOff>2567940</xdr:colOff>
      <xdr:row>0</xdr:row>
      <xdr:rowOff>479315</xdr:rowOff>
    </xdr:to>
    <xdr:pic>
      <xdr:nvPicPr>
        <xdr:cNvPr id="3" name="Picture 2">
          <a:extLst>
            <a:ext uri="{FF2B5EF4-FFF2-40B4-BE49-F238E27FC236}">
              <a16:creationId xmlns:a16="http://schemas.microsoft.com/office/drawing/2014/main" id="{C265DC02-5329-4FE3-BC29-53DBB775F4A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1349" y="123825"/>
          <a:ext cx="2101851" cy="3650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45243</xdr:colOff>
      <xdr:row>3</xdr:row>
      <xdr:rowOff>235744</xdr:rowOff>
    </xdr:from>
    <xdr:to>
      <xdr:col>1</xdr:col>
      <xdr:colOff>13096874</xdr:colOff>
      <xdr:row>3</xdr:row>
      <xdr:rowOff>235744</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497681" y="1616869"/>
          <a:ext cx="13051631"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71438</xdr:colOff>
      <xdr:row>1</xdr:row>
      <xdr:rowOff>95250</xdr:rowOff>
    </xdr:from>
    <xdr:to>
      <xdr:col>1</xdr:col>
      <xdr:colOff>2955819</xdr:colOff>
      <xdr:row>1</xdr:row>
      <xdr:rowOff>592454</xdr:rowOff>
    </xdr:to>
    <xdr:pic>
      <xdr:nvPicPr>
        <xdr:cNvPr id="4" name="Picture 3">
          <a:extLst>
            <a:ext uri="{FF2B5EF4-FFF2-40B4-BE49-F238E27FC236}">
              <a16:creationId xmlns:a16="http://schemas.microsoft.com/office/drawing/2014/main" id="{1DEB2904-49B5-4B05-AD30-42D63F4B87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6" y="309563"/>
          <a:ext cx="2888191" cy="48767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403224</xdr:colOff>
      <xdr:row>0</xdr:row>
      <xdr:rowOff>171450</xdr:rowOff>
    </xdr:from>
    <xdr:to>
      <xdr:col>1</xdr:col>
      <xdr:colOff>2497455</xdr:colOff>
      <xdr:row>0</xdr:row>
      <xdr:rowOff>536465</xdr:rowOff>
    </xdr:to>
    <xdr:pic>
      <xdr:nvPicPr>
        <xdr:cNvPr id="3" name="Picture 2">
          <a:extLst>
            <a:ext uri="{FF2B5EF4-FFF2-40B4-BE49-F238E27FC236}">
              <a16:creationId xmlns:a16="http://schemas.microsoft.com/office/drawing/2014/main" id="{882BACF3-2836-4935-AA0C-9D4FABB9BB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199" y="171450"/>
          <a:ext cx="2101851" cy="36501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488949</xdr:colOff>
      <xdr:row>0</xdr:row>
      <xdr:rowOff>133350</xdr:rowOff>
    </xdr:from>
    <xdr:to>
      <xdr:col>1</xdr:col>
      <xdr:colOff>2590800</xdr:colOff>
      <xdr:row>0</xdr:row>
      <xdr:rowOff>498365</xdr:rowOff>
    </xdr:to>
    <xdr:pic>
      <xdr:nvPicPr>
        <xdr:cNvPr id="3" name="Picture 2">
          <a:extLst>
            <a:ext uri="{FF2B5EF4-FFF2-40B4-BE49-F238E27FC236}">
              <a16:creationId xmlns:a16="http://schemas.microsoft.com/office/drawing/2014/main" id="{BC1C6A7F-CEA8-4549-9209-EA549E94298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924" y="133350"/>
          <a:ext cx="2101851" cy="36501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xdr:col>
      <xdr:colOff>119438</xdr:colOff>
      <xdr:row>62</xdr:row>
      <xdr:rowOff>72389</xdr:rowOff>
    </xdr:from>
    <xdr:to>
      <xdr:col>4</xdr:col>
      <xdr:colOff>665692</xdr:colOff>
      <xdr:row>62</xdr:row>
      <xdr:rowOff>3524249</xdr:rowOff>
    </xdr:to>
    <xdr:pic>
      <xdr:nvPicPr>
        <xdr:cNvPr id="3" name="Picture 2">
          <a:extLst>
            <a:ext uri="{FF2B5EF4-FFF2-40B4-BE49-F238E27FC236}">
              <a16:creationId xmlns:a16="http://schemas.microsoft.com/office/drawing/2014/main" id="{025605B0-CD7A-496C-8E3F-47D456BECD54}"/>
            </a:ext>
            <a:ext uri="{147F2762-F138-4A5C-976F-8EAC2B608ADB}">
              <a16:predDERef xmlns:a16="http://schemas.microsoft.com/office/drawing/2014/main" pred="{00000000-0008-0000-1300-000002000000}"/>
            </a:ext>
          </a:extLst>
        </xdr:cNvPr>
        <xdr:cNvPicPr>
          <a:picLocks noChangeAspect="1"/>
        </xdr:cNvPicPr>
      </xdr:nvPicPr>
      <xdr:blipFill>
        <a:blip xmlns:r="http://schemas.openxmlformats.org/officeDocument/2006/relationships" r:embed="rId1"/>
        <a:stretch>
          <a:fillRect/>
        </a:stretch>
      </xdr:blipFill>
      <xdr:spPr>
        <a:xfrm>
          <a:off x="2519738" y="15533369"/>
          <a:ext cx="6569864" cy="3455670"/>
        </a:xfrm>
        <a:prstGeom prst="rect">
          <a:avLst/>
        </a:prstGeom>
      </xdr:spPr>
    </xdr:pic>
    <xdr:clientData/>
  </xdr:twoCellAnchor>
  <xdr:twoCellAnchor editAs="oneCell">
    <xdr:from>
      <xdr:col>1</xdr:col>
      <xdr:colOff>298449</xdr:colOff>
      <xdr:row>0</xdr:row>
      <xdr:rowOff>161925</xdr:rowOff>
    </xdr:from>
    <xdr:to>
      <xdr:col>1</xdr:col>
      <xdr:colOff>2400300</xdr:colOff>
      <xdr:row>0</xdr:row>
      <xdr:rowOff>525035</xdr:rowOff>
    </xdr:to>
    <xdr:pic>
      <xdr:nvPicPr>
        <xdr:cNvPr id="4" name="Picture 3">
          <a:extLst>
            <a:ext uri="{FF2B5EF4-FFF2-40B4-BE49-F238E27FC236}">
              <a16:creationId xmlns:a16="http://schemas.microsoft.com/office/drawing/2014/main" id="{6AE7897F-A13B-4D7E-BC06-5C393CB2FDA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9424" y="161925"/>
          <a:ext cx="2101851" cy="36501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oneCellAnchor>
    <xdr:from>
      <xdr:col>1</xdr:col>
      <xdr:colOff>440690</xdr:colOff>
      <xdr:row>0</xdr:row>
      <xdr:rowOff>127000</xdr:rowOff>
    </xdr:from>
    <xdr:ext cx="2109471" cy="426187"/>
    <xdr:pic>
      <xdr:nvPicPr>
        <xdr:cNvPr id="2" name="Picture 1">
          <a:extLst>
            <a:ext uri="{FF2B5EF4-FFF2-40B4-BE49-F238E27FC236}">
              <a16:creationId xmlns:a16="http://schemas.microsoft.com/office/drawing/2014/main" id="{C5EAC25A-5FC6-43CB-AE40-496995C9C5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3150" y="127000"/>
          <a:ext cx="2109471" cy="426187"/>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twoCellAnchor editAs="oneCell">
    <xdr:from>
      <xdr:col>1</xdr:col>
      <xdr:colOff>488949</xdr:colOff>
      <xdr:row>0</xdr:row>
      <xdr:rowOff>133350</xdr:rowOff>
    </xdr:from>
    <xdr:to>
      <xdr:col>1</xdr:col>
      <xdr:colOff>2590800</xdr:colOff>
      <xdr:row>0</xdr:row>
      <xdr:rowOff>498365</xdr:rowOff>
    </xdr:to>
    <xdr:pic>
      <xdr:nvPicPr>
        <xdr:cNvPr id="3" name="Picture 2">
          <a:extLst>
            <a:ext uri="{FF2B5EF4-FFF2-40B4-BE49-F238E27FC236}">
              <a16:creationId xmlns:a16="http://schemas.microsoft.com/office/drawing/2014/main" id="{84D53B35-E5FE-4BB0-A107-6EE7D823B8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924" y="133350"/>
          <a:ext cx="2101851" cy="3650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83344</xdr:colOff>
      <xdr:row>0</xdr:row>
      <xdr:rowOff>416719</xdr:rowOff>
    </xdr:from>
    <xdr:ext cx="2886286" cy="478154"/>
    <xdr:pic>
      <xdr:nvPicPr>
        <xdr:cNvPr id="2" name="Picture 3">
          <a:extLst>
            <a:ext uri="{FF2B5EF4-FFF2-40B4-BE49-F238E27FC236}">
              <a16:creationId xmlns:a16="http://schemas.microsoft.com/office/drawing/2014/main" id="{B64820E1-A63F-4ED0-AAE1-FF354D60CA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249" y="178594"/>
          <a:ext cx="2886286" cy="47815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285750</xdr:colOff>
      <xdr:row>0</xdr:row>
      <xdr:rowOff>345281</xdr:rowOff>
    </xdr:from>
    <xdr:to>
      <xdr:col>0</xdr:col>
      <xdr:colOff>3173941</xdr:colOff>
      <xdr:row>0</xdr:row>
      <xdr:rowOff>832960</xdr:rowOff>
    </xdr:to>
    <xdr:pic>
      <xdr:nvPicPr>
        <xdr:cNvPr id="3" name="Picture 3">
          <a:extLst>
            <a:ext uri="{FF2B5EF4-FFF2-40B4-BE49-F238E27FC236}">
              <a16:creationId xmlns:a16="http://schemas.microsoft.com/office/drawing/2014/main" id="{BD1BF6F4-5E5D-4817-A279-7D03D6268C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345281"/>
          <a:ext cx="2888191" cy="4876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600076</xdr:colOff>
      <xdr:row>0</xdr:row>
      <xdr:rowOff>114301</xdr:rowOff>
    </xdr:from>
    <xdr:to>
      <xdr:col>1</xdr:col>
      <xdr:colOff>2491741</xdr:colOff>
      <xdr:row>0</xdr:row>
      <xdr:rowOff>440369</xdr:rowOff>
    </xdr:to>
    <xdr:pic>
      <xdr:nvPicPr>
        <xdr:cNvPr id="3" name="Picture 3">
          <a:extLst>
            <a:ext uri="{FF2B5EF4-FFF2-40B4-BE49-F238E27FC236}">
              <a16:creationId xmlns:a16="http://schemas.microsoft.com/office/drawing/2014/main" id="{5138FCEF-578A-4A61-B954-DD9F8E1D44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1051" y="114301"/>
          <a:ext cx="1885950" cy="3184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5</xdr:col>
      <xdr:colOff>2235335</xdr:colOff>
      <xdr:row>66</xdr:row>
      <xdr:rowOff>249555</xdr:rowOff>
    </xdr:from>
    <xdr:ext cx="738438" cy="548640"/>
    <xdr:pic>
      <xdr:nvPicPr>
        <xdr:cNvPr id="6" name="Picture 2" descr="Text&#10;&#10;Description automatically generated">
          <a:extLst>
            <a:ext uri="{FF2B5EF4-FFF2-40B4-BE49-F238E27FC236}">
              <a16:creationId xmlns:a16="http://schemas.microsoft.com/office/drawing/2014/main" id="{45F5AB96-87DA-4F53-932B-53D9D3B435A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4465" t="23734" r="1443" b="10962"/>
        <a:stretch/>
      </xdr:blipFill>
      <xdr:spPr bwMode="auto">
        <a:xfrm>
          <a:off x="10830695" y="15360015"/>
          <a:ext cx="738438" cy="548640"/>
        </a:xfrm>
        <a:prstGeom prst="rect">
          <a:avLst/>
        </a:prstGeom>
        <a:ln>
          <a:noFill/>
        </a:ln>
        <a:extLst>
          <a:ext uri="{53640926-AAD7-44D8-BBD7-CCE9431645EC}">
            <a14:shadowObscured xmlns:a14="http://schemas.microsoft.com/office/drawing/2010/main"/>
          </a:ext>
        </a:extLst>
      </xdr:spPr>
    </xdr:pic>
    <xdr:clientData/>
  </xdr:oneCellAnchor>
  <xdr:twoCellAnchor editAs="oneCell">
    <xdr:from>
      <xdr:col>1</xdr:col>
      <xdr:colOff>600076</xdr:colOff>
      <xdr:row>0</xdr:row>
      <xdr:rowOff>114301</xdr:rowOff>
    </xdr:from>
    <xdr:to>
      <xdr:col>1</xdr:col>
      <xdr:colOff>2495551</xdr:colOff>
      <xdr:row>0</xdr:row>
      <xdr:rowOff>436559</xdr:rowOff>
    </xdr:to>
    <xdr:pic>
      <xdr:nvPicPr>
        <xdr:cNvPr id="4" name="Picture 3">
          <a:extLst>
            <a:ext uri="{FF2B5EF4-FFF2-40B4-BE49-F238E27FC236}">
              <a16:creationId xmlns:a16="http://schemas.microsoft.com/office/drawing/2014/main" id="{22DD3D5C-CF77-4999-97E6-1635BDABCE1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1051" y="114301"/>
          <a:ext cx="1885950" cy="3184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428626</xdr:colOff>
      <xdr:row>0</xdr:row>
      <xdr:rowOff>190501</xdr:rowOff>
    </xdr:from>
    <xdr:to>
      <xdr:col>1</xdr:col>
      <xdr:colOff>2310766</xdr:colOff>
      <xdr:row>0</xdr:row>
      <xdr:rowOff>516569</xdr:rowOff>
    </xdr:to>
    <xdr:pic>
      <xdr:nvPicPr>
        <xdr:cNvPr id="3" name="Picture 2">
          <a:extLst>
            <a:ext uri="{FF2B5EF4-FFF2-40B4-BE49-F238E27FC236}">
              <a16:creationId xmlns:a16="http://schemas.microsoft.com/office/drawing/2014/main" id="{CA4EFD64-EFBC-480A-ACC5-E7DF70A532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1" y="190501"/>
          <a:ext cx="1885950" cy="31844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695325</xdr:colOff>
      <xdr:row>0</xdr:row>
      <xdr:rowOff>180975</xdr:rowOff>
    </xdr:from>
    <xdr:to>
      <xdr:col>1</xdr:col>
      <xdr:colOff>2579370</xdr:colOff>
      <xdr:row>0</xdr:row>
      <xdr:rowOff>501328</xdr:rowOff>
    </xdr:to>
    <xdr:pic>
      <xdr:nvPicPr>
        <xdr:cNvPr id="5" name="Picture 4">
          <a:extLst>
            <a:ext uri="{FF2B5EF4-FFF2-40B4-BE49-F238E27FC236}">
              <a16:creationId xmlns:a16="http://schemas.microsoft.com/office/drawing/2014/main" id="{91543C8A-3335-4815-91D4-294086BBFE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6300" y="180975"/>
          <a:ext cx="1885950" cy="31844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447675</xdr:colOff>
      <xdr:row>0</xdr:row>
      <xdr:rowOff>161925</xdr:rowOff>
    </xdr:from>
    <xdr:to>
      <xdr:col>1</xdr:col>
      <xdr:colOff>2343150</xdr:colOff>
      <xdr:row>0</xdr:row>
      <xdr:rowOff>476563</xdr:rowOff>
    </xdr:to>
    <xdr:pic>
      <xdr:nvPicPr>
        <xdr:cNvPr id="4" name="Picture 3">
          <a:extLst>
            <a:ext uri="{FF2B5EF4-FFF2-40B4-BE49-F238E27FC236}">
              <a16:creationId xmlns:a16="http://schemas.microsoft.com/office/drawing/2014/main" id="{79280A3F-6E5F-4530-A29E-0815F7ED18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0" y="161925"/>
          <a:ext cx="1885950" cy="31844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Blatt, Amber" id="{67EF9110-F20D-42C6-8E70-1F4BF65C17D1}" userId="S::ablatt@chapinhall.org::6a400d71-1695-4f29-b0a5-63b8025c6b09" providerId="AD"/>
  <person displayName="Wilks, Olivia" id="{0F6C567D-3289-4AB0-B84B-78E905D214C4}" userId="S::owilks@chapinhall.org::d9a646ab-52e7-4672-8b1b-5b9bacda9d82" providerId="AD"/>
</personList>
</file>

<file path=xl/theme/theme1.xml><?xml version="1.0" encoding="utf-8"?>
<a:theme xmlns:a="http://schemas.openxmlformats.org/drawingml/2006/main" name="chapin hall">
  <a:themeElements>
    <a:clrScheme name="Chapin Hall">
      <a:dk1>
        <a:sysClr val="windowText" lastClr="000000"/>
      </a:dk1>
      <a:lt1>
        <a:sysClr val="window" lastClr="FFFFFF"/>
      </a:lt1>
      <a:dk2>
        <a:srgbClr val="44546A"/>
      </a:dk2>
      <a:lt2>
        <a:srgbClr val="E7E6E6"/>
      </a:lt2>
      <a:accent1>
        <a:srgbClr val="800000"/>
      </a:accent1>
      <a:accent2>
        <a:srgbClr val="213368"/>
      </a:accent2>
      <a:accent3>
        <a:srgbClr val="2A5CAA"/>
      </a:accent3>
      <a:accent4>
        <a:srgbClr val="009CDE"/>
      </a:accent4>
      <a:accent5>
        <a:srgbClr val="767676"/>
      </a:accent5>
      <a:accent6>
        <a:srgbClr val="D6D6CE"/>
      </a:accent6>
      <a:hlink>
        <a:srgbClr val="0563C1"/>
      </a:hlink>
      <a:folHlink>
        <a:srgbClr val="954F72"/>
      </a:folHlink>
    </a:clrScheme>
    <a:fontScheme name="Chapin Hall">
      <a:majorFont>
        <a:latin typeface="Segoe UI Light"/>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51" dT="2021-04-29T14:17:07.25" personId="{0F6C567D-3289-4AB0-B84B-78E905D214C4}" id="{83AA7383-D880-47D8-8322-9690F2298E6E}">
    <text>If the site chooses to send more than one person through the Externship Process, the cost for anyone above and beyond that first attendee is $3,500 (not including travel costs)</text>
  </threadedComment>
</ThreadedComments>
</file>

<file path=xl/threadedComments/threadedComment2.xml><?xml version="1.0" encoding="utf-8"?>
<ThreadedComments xmlns="http://schemas.microsoft.com/office/spreadsheetml/2018/threadedcomments" xmlns:x="http://schemas.openxmlformats.org/spreadsheetml/2006/main">
  <threadedComment ref="C24" dT="2021-06-15T19:09:24.55" personId="{67EF9110-F20D-42C6-8E70-1F4BF65C17D1}" id="{F194265E-09E2-4B0A-BD03-BEA244A279B7}">
    <text>Requires funder to estimate occupancy cost by agency</text>
  </threadedComment>
  <threadedComment ref="C25" dT="2021-06-15T19:09:40.63" personId="{67EF9110-F20D-42C6-8E70-1F4BF65C17D1}" id="{A867D410-A21F-44A6-9B22-E65228E817D2}">
    <text>Requires funder to estimate occupancy cost by agency</text>
  </threadedComment>
  <threadedComment ref="C26" dT="2021-06-15T19:09:44.30" personId="{67EF9110-F20D-42C6-8E70-1F4BF65C17D1}" id="{E45482DF-7E87-4C7F-A47F-03542943990B}">
    <text>Requires funder to estimate occupancy cost by agency</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wsipp.wa.gov/BenefitCost/Program/119" TargetMode="External"/><Relationship Id="rId1" Type="http://schemas.openxmlformats.org/officeDocument/2006/relationships/hyperlink" Target="https://www.healthyfamiliesamerica.org/become-an-affiliate/using-ffpsa-funds-for-hfa-home-visiting-services/"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wsipp.wa.gov/BenefitCost/Program/78"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7" Type="http://schemas.microsoft.com/office/2017/10/relationships/threadedComment" Target="../threadedComments/threadedComment1.xml"/><Relationship Id="rId2" Type="http://schemas.openxmlformats.org/officeDocument/2006/relationships/hyperlink" Target="https://www.chapinhall.org/wp-content/uploads/FFT-Fees-and-Est-Expenses-2021.pdf" TargetMode="External"/><Relationship Id="rId1" Type="http://schemas.openxmlformats.org/officeDocument/2006/relationships/hyperlink" Target="http://www.wsipp.wa.gov/BenefitCost/Program/663" TargetMode="External"/><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wsipp.wa.gov/BenefitCost/Program/663"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chapinhall.org/wp-content/uploads/2019-incredible-years-cost-planning-estimate-worksheet-for-agencies-rev-2020.xlsx" TargetMode="External"/><Relationship Id="rId1" Type="http://schemas.openxmlformats.org/officeDocument/2006/relationships/hyperlink" Target="http://www.wsipp.wa.gov/BenefitCost/Program/158" TargetMode="External"/><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chapinhall.org/wp-content/uploads/2019-incredible-years-cost-planning-estimate-worksheet-for-agencies-rev-2020.xlsx" TargetMode="External"/><Relationship Id="rId1" Type="http://schemas.openxmlformats.org/officeDocument/2006/relationships/hyperlink" Target="http://www.wsipp.wa.gov/BenefitCost/Program/158" TargetMode="External"/><Relationship Id="rId6" Type="http://schemas.openxmlformats.org/officeDocument/2006/relationships/comments" Target="../comments11.xml"/><Relationship Id="rId5" Type="http://schemas.openxmlformats.org/officeDocument/2006/relationships/vmlDrawing" Target="../drawings/vmlDrawing11.vm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hyperlink" Target="http://www.wsipp.wa.gov/BenefitCost/Program/35" TargetMode="External"/><Relationship Id="rId7" Type="http://schemas.openxmlformats.org/officeDocument/2006/relationships/comments" Target="../comments12.xml"/><Relationship Id="rId2" Type="http://schemas.openxmlformats.org/officeDocument/2006/relationships/hyperlink" Target="../../../../:x:/s/ffpsa/EU8v4XfVzlNBg8KRJzk9QGkBVG7MTxozJOTpB8GDh_E7fQ?e=78HuLX" TargetMode="External"/><Relationship Id="rId1" Type="http://schemas.openxmlformats.org/officeDocument/2006/relationships/hyperlink" Target="../../../../:b:/s/ffpsa/Ed3lcVJpjylIvfzemacMWp0BsApcT-o-OR7EoNbQmi70Aw?e=XOISRa" TargetMode="External"/><Relationship Id="rId6" Type="http://schemas.openxmlformats.org/officeDocument/2006/relationships/vmlDrawing" Target="../drawings/vmlDrawing12.vml"/><Relationship Id="rId5" Type="http://schemas.openxmlformats.org/officeDocument/2006/relationships/drawing" Target="../drawings/drawing16.xml"/><Relationship Id="rId4"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motivationalinterviewing.org/training-expectations" TargetMode="External"/><Relationship Id="rId1" Type="http://schemas.openxmlformats.org/officeDocument/2006/relationships/hyperlink" Target="http://www.wsipp.wa.gov/BenefitCost/Program/497" TargetMode="External"/><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wsipp.wa.gov/BenefitCost/Program/36" TargetMode="External"/><Relationship Id="rId5" Type="http://schemas.openxmlformats.org/officeDocument/2006/relationships/comments" Target="../comments15.xml"/><Relationship Id="rId4"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8" Type="http://schemas.openxmlformats.org/officeDocument/2006/relationships/hyperlink" Target="https://www.aecf.org/resources/family-first-prevention-services-act-fiscal-analysis/" TargetMode="External"/><Relationship Id="rId13" Type="http://schemas.openxmlformats.org/officeDocument/2006/relationships/drawing" Target="../drawings/drawing2.xml"/><Relationship Id="rId3" Type="http://schemas.openxmlformats.org/officeDocument/2006/relationships/hyperlink" Target="https://youth.gov/evidence-innovation/selecting-programs" TargetMode="External"/><Relationship Id="rId7" Type="http://schemas.openxmlformats.org/officeDocument/2006/relationships/hyperlink" Target="https://effectivehealthcare.ahrq.gov/sites/default/files/pdf/trauma-interventions-maltreatment-child_research.pdf" TargetMode="External"/><Relationship Id="rId12" Type="http://schemas.openxmlformats.org/officeDocument/2006/relationships/printerSettings" Target="../printerSettings/printerSettings2.bin"/><Relationship Id="rId2" Type="http://schemas.openxmlformats.org/officeDocument/2006/relationships/hyperlink" Target="https://www.childtrends.org/links-syntheses" TargetMode="External"/><Relationship Id="rId1" Type="http://schemas.openxmlformats.org/officeDocument/2006/relationships/hyperlink" Target="https://preventionservices.abtsites.com/" TargetMode="External"/><Relationship Id="rId6" Type="http://schemas.openxmlformats.org/officeDocument/2006/relationships/hyperlink" Target="https://www.nctsn.org/treatments-and-practices/trauma-treatments" TargetMode="External"/><Relationship Id="rId11" Type="http://schemas.openxmlformats.org/officeDocument/2006/relationships/hyperlink" Target="https://files.eric.ed.gov/fulltext/ED605905.pdf" TargetMode="External"/><Relationship Id="rId5" Type="http://schemas.openxmlformats.org/officeDocument/2006/relationships/hyperlink" Target="https://www.blueprintsprograms.org/" TargetMode="External"/><Relationship Id="rId10" Type="http://schemas.openxmlformats.org/officeDocument/2006/relationships/hyperlink" Target="https://nirn.fpg.unc.edu/sites/nirn.fpg.unc.edu/files/imce/documents/NIRN%20Hexagon%20Discussion%20Analysis%20Tool_September2020_1.pdf" TargetMode="External"/><Relationship Id="rId4" Type="http://schemas.openxmlformats.org/officeDocument/2006/relationships/hyperlink" Target="https://www.cdc.gov/teenpregnancy/practitioner-tools-resources/evidence-based-programs.html" TargetMode="External"/><Relationship Id="rId9" Type="http://schemas.openxmlformats.org/officeDocument/2006/relationships/hyperlink" Target="https://www.cebc4cw.org/"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s://www.chapinhall.org/wp-content/uploads/Parents-as-Teachers-Budget-Toolkit-2016-2017.pdf" TargetMode="External"/><Relationship Id="rId7" Type="http://schemas.openxmlformats.org/officeDocument/2006/relationships/comments" Target="../comments16.xml"/><Relationship Id="rId2" Type="http://schemas.openxmlformats.org/officeDocument/2006/relationships/hyperlink" Target="https://www.chapinhall.org/wp-content/uploads/PAT_2020_PricingSheet_updated4Nov20202.pdf" TargetMode="External"/><Relationship Id="rId1" Type="http://schemas.openxmlformats.org/officeDocument/2006/relationships/hyperlink" Target="http://www.wsipp.wa.gov/BenefitCost/Program/118" TargetMode="External"/><Relationship Id="rId6" Type="http://schemas.openxmlformats.org/officeDocument/2006/relationships/vmlDrawing" Target="../drawings/vmlDrawing16.vml"/><Relationship Id="rId5" Type="http://schemas.openxmlformats.org/officeDocument/2006/relationships/drawing" Target="../drawings/drawing20.xm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www.wsipp.wa.gov/BenefitCost/Program/77" TargetMode="External"/><Relationship Id="rId5" Type="http://schemas.openxmlformats.org/officeDocument/2006/relationships/comments" Target="../comments17.xml"/><Relationship Id="rId4" Type="http://schemas.openxmlformats.org/officeDocument/2006/relationships/vmlDrawing" Target="../drawings/vmlDrawing17.v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www.chapinhall.org/wp-content/uploads/Path-from-SafeCare-Provider-to-Trainer.pdf" TargetMode="External"/><Relationship Id="rId1" Type="http://schemas.openxmlformats.org/officeDocument/2006/relationships/hyperlink" Target="https://www.wsipp.wa.gov/BenefitCost/Program/160" TargetMode="External"/><Relationship Id="rId6" Type="http://schemas.openxmlformats.org/officeDocument/2006/relationships/comments" Target="../comments18.xml"/><Relationship Id="rId5" Type="http://schemas.openxmlformats.org/officeDocument/2006/relationships/vmlDrawing" Target="../drawings/vmlDrawing18.vml"/><Relationship Id="rId4"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https://www.wsipp.wa.gov/BenefitCost/Program/80" TargetMode="External"/><Relationship Id="rId6" Type="http://schemas.microsoft.com/office/2017/10/relationships/threadedComment" Target="../threadedComments/threadedComment2.xml"/><Relationship Id="rId5" Type="http://schemas.openxmlformats.org/officeDocument/2006/relationships/comments" Target="../comments19.xml"/><Relationship Id="rId4" Type="http://schemas.openxmlformats.org/officeDocument/2006/relationships/vmlDrawing" Target="../drawings/vmlDrawing19.vm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www.wsipp.wa.gov/BenefitCost/Program/155" TargetMode="External"/><Relationship Id="rId5" Type="http://schemas.openxmlformats.org/officeDocument/2006/relationships/comments" Target="../comments20.xml"/><Relationship Id="rId4" Type="http://schemas.openxmlformats.org/officeDocument/2006/relationships/vmlDrawing" Target="../drawings/vmlDrawing20.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felicia.fognani@nursefamilypartnership.org"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nirn.fpg.unc.edu/sites/nirn.fpg.unc.edu/files/imce/documents/NIRN%20Hexagon%20Discussion%20Analysis%20Tool_September2020_1.pdf" TargetMode="Externa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s://www.chapinhall.org/wp-content/uploads/BSFT-Fact-sheets-2020.pdf" TargetMode="External"/><Relationship Id="rId7" Type="http://schemas.openxmlformats.org/officeDocument/2006/relationships/printerSettings" Target="../printerSettings/printerSettings5.bin"/><Relationship Id="rId2" Type="http://schemas.openxmlformats.org/officeDocument/2006/relationships/hyperlink" Target="https://www.chapinhall.org/wp-content/uploads/BSFT-All-training-Pathways-LB-v.2.pdf" TargetMode="External"/><Relationship Id="rId1" Type="http://schemas.openxmlformats.org/officeDocument/2006/relationships/hyperlink" Target="http://www.wsipp.wa.gov/BenefitCost/Program/91" TargetMode="External"/><Relationship Id="rId6" Type="http://schemas.openxmlformats.org/officeDocument/2006/relationships/hyperlink" Target="https://www.chapinhall.org/wp-content/uploads/Which-Kids-families-Are-best-served-by-BSFT.pdf" TargetMode="External"/><Relationship Id="rId5" Type="http://schemas.openxmlformats.org/officeDocument/2006/relationships/hyperlink" Target="https://www.chapinhall.org/wp-content/uploads/Trauma-focused-BSFT.pdf" TargetMode="External"/><Relationship Id="rId10" Type="http://schemas.openxmlformats.org/officeDocument/2006/relationships/comments" Target="../comments1.xml"/><Relationship Id="rId4" Type="http://schemas.openxmlformats.org/officeDocument/2006/relationships/hyperlink" Target="https://www.chapinhall.org/wp-content/uploads/Training-Implementation-Process-TIP.pdf" TargetMode="External"/><Relationship Id="rId9"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docs.google.com/spreadsheets/d/1eAify6mYrnB7hk5AK67NJQ7eSeZv6EIhg5eHUVK3xpw/edit" TargetMode="External"/><Relationship Id="rId1" Type="http://schemas.openxmlformats.org/officeDocument/2006/relationships/hyperlink" Target="http://www.wsipp.wa.gov/BenefitCost/Program/263"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b:/s/ffpsa/EWg1o-k3AvRJgBaQQuyrp04BoUG-T2YQQez-bXR6e4rDLA?e=6Xa1hb" TargetMode="External"/><Relationship Id="rId1" Type="http://schemas.openxmlformats.org/officeDocument/2006/relationships/hyperlink" Target="http://www.wsipp.wa.gov/BenefitCost/Program/380"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chapinhall.org/wp-content/uploads/Family-Spirit-Cost-Sheet.pdf" TargetMode="External"/><Relationship Id="rId1" Type="http://schemas.openxmlformats.org/officeDocument/2006/relationships/hyperlink" Target="http://www.wsipp.wa.gov/BenefitCost/Program/822"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K40"/>
  <sheetViews>
    <sheetView zoomScale="80" zoomScaleNormal="80" workbookViewId="0">
      <selection activeCell="G13" sqref="G13"/>
    </sheetView>
  </sheetViews>
  <sheetFormatPr defaultColWidth="8.69921875" defaultRowHeight="16.8" x14ac:dyDescent="0.4"/>
  <cols>
    <col min="1" max="1" width="8.19921875" style="18" customWidth="1"/>
    <col min="2" max="2" width="50" style="18" customWidth="1"/>
    <col min="3" max="5" width="40.59765625" style="18" customWidth="1"/>
    <col min="6" max="6" width="3.19921875" style="18" customWidth="1"/>
    <col min="7" max="7" width="23.3984375" style="18" customWidth="1"/>
    <col min="8" max="16384" width="8.69921875" style="18"/>
  </cols>
  <sheetData>
    <row r="1" spans="1:11" ht="23.4" customHeight="1" x14ac:dyDescent="0.4">
      <c r="B1" s="456"/>
      <c r="C1" s="456"/>
      <c r="D1" s="456"/>
    </row>
    <row r="2" spans="1:11" ht="56.25" customHeight="1" x14ac:dyDescent="0.4">
      <c r="B2" s="456"/>
      <c r="D2" s="456"/>
    </row>
    <row r="3" spans="1:11" s="1273" customFormat="1" ht="50.25" customHeight="1" x14ac:dyDescent="0.4">
      <c r="A3" s="1272" t="s">
        <v>0</v>
      </c>
    </row>
    <row r="4" spans="1:11" ht="14.4" customHeight="1" x14ac:dyDescent="0.4"/>
    <row r="5" spans="1:11" s="897" customFormat="1" ht="34.950000000000003" customHeight="1" x14ac:dyDescent="0.4">
      <c r="A5" s="1274" t="s">
        <v>1</v>
      </c>
      <c r="B5" s="1274"/>
      <c r="F5" s="898"/>
      <c r="G5" s="898"/>
    </row>
    <row r="6" spans="1:11" s="372" customFormat="1" x14ac:dyDescent="0.4"/>
    <row r="7" spans="1:11" s="372" customFormat="1" x14ac:dyDescent="0.4"/>
    <row r="8" spans="1:11" s="372" customFormat="1" ht="20.399999999999999" x14ac:dyDescent="0.4">
      <c r="B8" s="457" t="s">
        <v>2</v>
      </c>
    </row>
    <row r="9" spans="1:11" s="372" customFormat="1" ht="20.399999999999999" x14ac:dyDescent="0.4">
      <c r="B9" s="458" t="s">
        <v>3</v>
      </c>
    </row>
    <row r="10" spans="1:11" s="372" customFormat="1" ht="20.399999999999999" x14ac:dyDescent="0.4">
      <c r="B10" s="458" t="s">
        <v>4</v>
      </c>
    </row>
    <row r="11" spans="1:11" s="372" customFormat="1" ht="21.6" customHeight="1" x14ac:dyDescent="0.4">
      <c r="B11" s="458"/>
    </row>
    <row r="12" spans="1:11" s="372" customFormat="1" ht="25.2" customHeight="1" x14ac:dyDescent="0.4">
      <c r="B12" s="889" t="s">
        <v>5</v>
      </c>
      <c r="C12" s="1271" t="s">
        <v>6</v>
      </c>
      <c r="D12" s="1271"/>
      <c r="E12" s="1271"/>
      <c r="F12" s="707"/>
    </row>
    <row r="13" spans="1:11" s="372" customFormat="1" ht="25.2" customHeight="1" x14ac:dyDescent="0.4">
      <c r="B13" s="1112" t="s">
        <v>7</v>
      </c>
      <c r="C13" s="890" t="s">
        <v>8</v>
      </c>
      <c r="D13" s="890" t="s">
        <v>9</v>
      </c>
      <c r="E13" s="890" t="s">
        <v>10</v>
      </c>
      <c r="F13" s="459"/>
      <c r="G13" s="706"/>
      <c r="H13" s="680"/>
      <c r="I13" s="680"/>
      <c r="J13" s="680"/>
    </row>
    <row r="14" spans="1:11" s="372" customFormat="1" ht="25.2" customHeight="1" x14ac:dyDescent="0.4">
      <c r="B14" s="891" t="s">
        <v>11</v>
      </c>
      <c r="C14" s="892" t="s">
        <v>12</v>
      </c>
      <c r="D14" s="892" t="s">
        <v>12</v>
      </c>
      <c r="E14" s="892" t="s">
        <v>12</v>
      </c>
      <c r="F14" s="860"/>
      <c r="G14" s="680"/>
      <c r="H14" s="680"/>
      <c r="I14" s="680"/>
      <c r="J14" s="680"/>
      <c r="K14" s="681"/>
    </row>
    <row r="15" spans="1:11" s="372" customFormat="1" ht="25.2" customHeight="1" x14ac:dyDescent="0.4">
      <c r="B15" s="893" t="s">
        <v>13</v>
      </c>
      <c r="C15" s="892" t="s">
        <v>14</v>
      </c>
      <c r="D15" s="892" t="s">
        <v>14</v>
      </c>
      <c r="E15" s="892"/>
      <c r="F15" s="860"/>
      <c r="G15" s="680"/>
      <c r="H15" s="680"/>
      <c r="I15" s="680"/>
      <c r="J15" s="680"/>
    </row>
    <row r="16" spans="1:11" s="372" customFormat="1" ht="25.2" customHeight="1" x14ac:dyDescent="0.4">
      <c r="B16" s="894" t="s">
        <v>15</v>
      </c>
      <c r="C16" s="892"/>
      <c r="D16" s="892" t="s">
        <v>12</v>
      </c>
      <c r="E16" s="892"/>
      <c r="F16" s="860"/>
      <c r="G16" s="680"/>
      <c r="H16" s="680"/>
      <c r="I16" s="680"/>
      <c r="J16" s="680"/>
    </row>
    <row r="17" spans="2:11" s="372" customFormat="1" ht="25.2" customHeight="1" x14ac:dyDescent="0.4">
      <c r="B17" s="894" t="s">
        <v>16</v>
      </c>
      <c r="C17" s="892" t="s">
        <v>12</v>
      </c>
      <c r="D17" s="892" t="s">
        <v>12</v>
      </c>
      <c r="E17" s="892"/>
      <c r="F17" s="860"/>
      <c r="G17" s="680"/>
      <c r="H17" s="680"/>
      <c r="I17" s="680"/>
      <c r="J17" s="680"/>
    </row>
    <row r="18" spans="2:11" s="372" customFormat="1" ht="25.2" customHeight="1" x14ac:dyDescent="0.4">
      <c r="B18" s="894" t="s">
        <v>17</v>
      </c>
      <c r="C18" s="892" t="s">
        <v>12</v>
      </c>
      <c r="D18" s="892"/>
      <c r="E18" s="892"/>
      <c r="F18" s="860"/>
      <c r="G18" s="680"/>
      <c r="H18" s="680"/>
      <c r="I18" s="680"/>
      <c r="J18" s="680"/>
      <c r="K18" s="681"/>
    </row>
    <row r="19" spans="2:11" s="372" customFormat="1" ht="25.2" customHeight="1" x14ac:dyDescent="0.4">
      <c r="B19" s="1130" t="s">
        <v>18</v>
      </c>
      <c r="C19" s="892"/>
      <c r="D19" s="892" t="s">
        <v>12</v>
      </c>
      <c r="E19" s="892"/>
      <c r="F19" s="860"/>
      <c r="G19" s="680"/>
      <c r="H19" s="680"/>
      <c r="I19" s="680"/>
      <c r="J19" s="680"/>
    </row>
    <row r="20" spans="2:11" s="372" customFormat="1" ht="25.2" customHeight="1" x14ac:dyDescent="0.45">
      <c r="B20" s="1132" t="s">
        <v>19</v>
      </c>
      <c r="C20" s="1129"/>
      <c r="D20" s="892" t="s">
        <v>12</v>
      </c>
      <c r="E20" s="892"/>
      <c r="F20" s="860"/>
      <c r="G20" s="680"/>
      <c r="H20" s="680"/>
      <c r="I20" s="680"/>
      <c r="J20" s="680"/>
    </row>
    <row r="21" spans="2:11" s="372" customFormat="1" ht="25.2" customHeight="1" x14ac:dyDescent="0.4">
      <c r="B21" s="1231" t="s">
        <v>20</v>
      </c>
      <c r="C21" s="892" t="s">
        <v>12</v>
      </c>
      <c r="D21" s="892"/>
      <c r="E21" s="892"/>
      <c r="F21" s="860"/>
      <c r="G21" s="680"/>
      <c r="H21" s="680"/>
      <c r="I21" s="680"/>
      <c r="J21" s="680"/>
      <c r="K21" s="681"/>
    </row>
    <row r="22" spans="2:11" s="372" customFormat="1" ht="25.2" customHeight="1" x14ac:dyDescent="0.45">
      <c r="B22" s="1232" t="s">
        <v>21</v>
      </c>
      <c r="C22" s="1129" t="s">
        <v>12</v>
      </c>
      <c r="D22" s="892"/>
      <c r="E22" s="892"/>
      <c r="F22" s="860"/>
      <c r="G22" s="680"/>
      <c r="H22" s="680"/>
      <c r="I22" s="680"/>
      <c r="J22" s="680"/>
      <c r="K22" s="681"/>
    </row>
    <row r="23" spans="2:11" s="372" customFormat="1" ht="25.2" customHeight="1" x14ac:dyDescent="0.4">
      <c r="B23" s="1131" t="s">
        <v>22</v>
      </c>
      <c r="C23" s="892" t="s">
        <v>12</v>
      </c>
      <c r="D23" s="892"/>
      <c r="E23" s="892"/>
      <c r="F23" s="860"/>
      <c r="G23" s="680"/>
      <c r="H23" s="680"/>
      <c r="I23" s="680"/>
      <c r="J23" s="680"/>
    </row>
    <row r="24" spans="2:11" s="372" customFormat="1" ht="25.2" customHeight="1" x14ac:dyDescent="0.4">
      <c r="B24" s="894" t="s">
        <v>23</v>
      </c>
      <c r="C24" s="892"/>
      <c r="D24" s="892" t="s">
        <v>12</v>
      </c>
      <c r="E24" s="892"/>
      <c r="F24" s="860"/>
      <c r="G24" s="680"/>
      <c r="H24" s="680"/>
      <c r="I24" s="680"/>
      <c r="J24" s="680"/>
    </row>
    <row r="25" spans="2:11" s="372" customFormat="1" ht="25.2" customHeight="1" x14ac:dyDescent="0.4">
      <c r="B25" s="894" t="s">
        <v>24</v>
      </c>
      <c r="C25" s="892"/>
      <c r="D25" s="892" t="s">
        <v>12</v>
      </c>
      <c r="E25" s="892"/>
      <c r="F25" s="860"/>
      <c r="G25" s="680"/>
      <c r="H25" s="680"/>
      <c r="I25" s="680"/>
      <c r="J25" s="680"/>
    </row>
    <row r="26" spans="2:11" s="372" customFormat="1" ht="25.2" customHeight="1" x14ac:dyDescent="0.4">
      <c r="B26" s="894" t="s">
        <v>25</v>
      </c>
      <c r="C26" s="892"/>
      <c r="D26" s="892"/>
      <c r="E26" s="892" t="s">
        <v>26</v>
      </c>
      <c r="F26" s="860"/>
      <c r="G26" s="680"/>
      <c r="H26" s="680"/>
      <c r="I26" s="680"/>
      <c r="J26" s="680"/>
      <c r="K26" s="681"/>
    </row>
    <row r="27" spans="2:11" s="372" customFormat="1" ht="25.2" customHeight="1" x14ac:dyDescent="0.4">
      <c r="B27" s="894" t="s">
        <v>27</v>
      </c>
      <c r="C27" s="892"/>
      <c r="D27" s="892" t="s">
        <v>12</v>
      </c>
      <c r="E27" s="892" t="s">
        <v>12</v>
      </c>
      <c r="F27" s="860"/>
      <c r="G27" s="680"/>
      <c r="H27" s="680"/>
      <c r="I27" s="680"/>
      <c r="J27" s="680"/>
    </row>
    <row r="28" spans="2:11" s="372" customFormat="1" ht="25.2" customHeight="1" x14ac:dyDescent="0.45">
      <c r="B28" s="1058" t="s">
        <v>28</v>
      </c>
      <c r="C28" s="892" t="s">
        <v>12</v>
      </c>
      <c r="D28" s="892"/>
      <c r="E28" s="892"/>
      <c r="F28" s="860"/>
      <c r="G28" s="680"/>
      <c r="H28" s="680"/>
      <c r="I28" s="680"/>
      <c r="J28" s="680"/>
    </row>
    <row r="29" spans="2:11" s="372" customFormat="1" ht="25.2" customHeight="1" x14ac:dyDescent="0.4">
      <c r="B29" s="894" t="s">
        <v>29</v>
      </c>
      <c r="C29" s="892" t="s">
        <v>12</v>
      </c>
      <c r="D29" s="892"/>
      <c r="E29" s="892"/>
      <c r="F29" s="860"/>
      <c r="G29" s="680"/>
      <c r="H29" s="680"/>
      <c r="I29" s="680"/>
      <c r="J29" s="680"/>
    </row>
    <row r="30" spans="2:11" s="372" customFormat="1" ht="25.2" customHeight="1" x14ac:dyDescent="0.4">
      <c r="B30" s="894" t="s">
        <v>30</v>
      </c>
      <c r="C30" s="892"/>
      <c r="D30" s="892" t="s">
        <v>12</v>
      </c>
      <c r="E30" s="892"/>
      <c r="F30" s="860"/>
      <c r="G30" s="680"/>
      <c r="H30" s="680"/>
      <c r="I30" s="680"/>
      <c r="J30" s="680"/>
      <c r="K30" s="681"/>
    </row>
    <row r="31" spans="2:11" s="372" customFormat="1" ht="25.2" customHeight="1" x14ac:dyDescent="0.4">
      <c r="B31" s="894" t="s">
        <v>31</v>
      </c>
      <c r="C31" s="895" t="s">
        <v>12</v>
      </c>
      <c r="D31" s="895"/>
      <c r="E31" s="895"/>
      <c r="F31" s="861"/>
      <c r="G31" s="680"/>
      <c r="H31" s="680"/>
      <c r="I31" s="680"/>
      <c r="J31" s="680"/>
      <c r="K31" s="681"/>
    </row>
    <row r="32" spans="2:11" s="372" customFormat="1" ht="25.2" customHeight="1" x14ac:dyDescent="0.4">
      <c r="B32" s="894" t="s">
        <v>32</v>
      </c>
      <c r="C32" s="892"/>
      <c r="D32" s="892" t="s">
        <v>12</v>
      </c>
      <c r="E32" s="892"/>
      <c r="F32" s="860"/>
      <c r="G32" s="680"/>
      <c r="H32" s="680"/>
      <c r="I32" s="680"/>
      <c r="J32" s="680"/>
      <c r="K32" s="681"/>
    </row>
    <row r="33" spans="2:11" s="372" customFormat="1" ht="25.2" customHeight="1" x14ac:dyDescent="0.45">
      <c r="B33" s="1058" t="s">
        <v>33</v>
      </c>
      <c r="C33" s="892"/>
      <c r="D33" s="892" t="s">
        <v>12</v>
      </c>
      <c r="E33" s="892"/>
      <c r="F33" s="860"/>
      <c r="G33" s="680"/>
      <c r="H33" s="680"/>
      <c r="I33" s="680"/>
      <c r="J33" s="680"/>
      <c r="K33" s="681"/>
    </row>
    <row r="34" spans="2:11" s="372" customFormat="1" ht="19.2" x14ac:dyDescent="0.4">
      <c r="B34" s="879"/>
    </row>
    <row r="35" spans="2:11" s="372" customFormat="1" x14ac:dyDescent="0.4">
      <c r="B35" s="682" t="s">
        <v>34</v>
      </c>
    </row>
    <row r="36" spans="2:11" s="372" customFormat="1" x14ac:dyDescent="0.4">
      <c r="B36" s="682" t="s">
        <v>35</v>
      </c>
    </row>
    <row r="37" spans="2:11" s="372" customFormat="1" x14ac:dyDescent="0.4">
      <c r="B37" s="682" t="s">
        <v>36</v>
      </c>
    </row>
    <row r="38" spans="2:11" s="372" customFormat="1" x14ac:dyDescent="0.4">
      <c r="B38" s="460"/>
      <c r="C38" s="460"/>
      <c r="D38" s="460"/>
    </row>
    <row r="39" spans="2:11" ht="19.2" x14ac:dyDescent="0.45">
      <c r="B39" s="859" t="s">
        <v>37</v>
      </c>
    </row>
    <row r="40" spans="2:11" ht="19.2" x14ac:dyDescent="0.45">
      <c r="B40" s="859" t="s">
        <v>38</v>
      </c>
    </row>
  </sheetData>
  <mergeCells count="3">
    <mergeCell ref="C12:E12"/>
    <mergeCell ref="A3:XFD3"/>
    <mergeCell ref="A5:B5"/>
  </mergeCells>
  <hyperlinks>
    <hyperlink ref="B15" location="'Child First'!A1" display="Child First" xr:uid="{00000000-0004-0000-0000-000000000000}"/>
    <hyperlink ref="B21" location="'Healthy Families America (HFA)'!A1" display="Healthy Families America (HFA)" xr:uid="{00000000-0004-0000-0000-000001000000}"/>
    <hyperlink ref="B26" location="MI!A1" display="Motivational Interviewing (MI)**" xr:uid="{00000000-0004-0000-0000-000003000000}"/>
    <hyperlink ref="B27" location="MST!A1" display="Multisystemic Therapy (MST)" xr:uid="{00000000-0004-0000-0000-000004000000}"/>
    <hyperlink ref="B30" location="PCIT!A1" display="Parent Child Interaction Therapy (PCIT)" xr:uid="{00000000-0004-0000-0000-000005000000}"/>
    <hyperlink ref="B9" location="'Model Overviews'!A1" display="Model Overviews" xr:uid="{00000000-0004-0000-0000-000006000000}"/>
    <hyperlink ref="B8" location="'Tool Guide'!A1" display="Tool Guide" xr:uid="{00000000-0004-0000-0000-000007000000}"/>
    <hyperlink ref="B10" location="'Model Selection '!A1" display="Model Selection Tool" xr:uid="{00000000-0004-0000-0000-000008000000}"/>
    <hyperlink ref="B18" location="'Family Spirit'!A1" display="Family Spirit" xr:uid="{00000000-0004-0000-0000-000009000000}"/>
    <hyperlink ref="B31" location="'SafeCare'!A1" display="SafeCare" xr:uid="{00000000-0004-0000-0000-00000A000000}"/>
    <hyperlink ref="B23" location="Intercept!A1" display="Intercept" xr:uid="{00000000-0004-0000-0000-00000C000000}"/>
    <hyperlink ref="B24" location="'IY-School Age'!A1" display="Incredible Years (IY) - School Basic" xr:uid="{00000000-0004-0000-0000-00000E000000}"/>
    <hyperlink ref="B25" location="'IY-Toddler'!A1" display="Incredible Years (IY) - Toddler Basic" xr:uid="{00000000-0004-0000-0000-00000F000000}"/>
    <hyperlink ref="B17" location="FCU!A1" display="Family Check-Up (FCU)" xr:uid="{00000000-0004-0000-0000-000010000000}"/>
    <hyperlink ref="B16" location="CPP!A1" display="Child-Parent Psychotherapy (CPP)" xr:uid="{00000000-0004-0000-0000-000011000000}"/>
    <hyperlink ref="B32" location="'TF-CBT'!Print_Area" display="Trauma Focused Cognitive Behavioral Therapy" xr:uid="{00000000-0004-0000-0000-000012000000}"/>
    <hyperlink ref="B29" location="PAT!A1" display="Parents as Teachers (PAT)" xr:uid="{00000000-0004-0000-0000-000013000000}"/>
    <hyperlink ref="B19" location="FFT!A1" display="Functional Family Therapy" xr:uid="{00000000-0004-0000-0000-000014000000}"/>
    <hyperlink ref="B14" location="BSFT!A1" display="Brief Strategic Family Therapy (BSFT)" xr:uid="{437A4150-EBAD-45AB-8E59-2A7F3DCB069B}"/>
    <hyperlink ref="B28" location="NFP!A1" display="Nurse Family Partnership" xr:uid="{6DE9BAE9-01A8-41EE-99AB-6DBAF90792D7}"/>
    <hyperlink ref="B33" location="'Triple P'!A1" display="Triple P - Positive Parenting" xr:uid="{BB7881B8-C49D-469F-8CD0-DC6B837D671B}"/>
    <hyperlink ref="B20" location="'FFT Partners '!A1" display="Functional Family Therapy (FFT Partners)" xr:uid="{6A738FAB-6391-4BE3-A9B2-7B833C642863}"/>
    <hyperlink ref="B22" location="Homebuilders!A1" display="Homebuilders" xr:uid="{4E1FB825-0B3D-4F10-AD31-D336E2F6120D}"/>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L103"/>
  <sheetViews>
    <sheetView topLeftCell="B1" zoomScale="90" zoomScaleNormal="90" workbookViewId="0">
      <selection activeCell="I36" sqref="I36"/>
    </sheetView>
  </sheetViews>
  <sheetFormatPr defaultColWidth="9" defaultRowHeight="16.8" x14ac:dyDescent="0.4"/>
  <cols>
    <col min="1" max="1" width="2.3984375" style="18" customWidth="1"/>
    <col min="2" max="2" width="40.3984375" style="18" customWidth="1"/>
    <col min="3" max="3" width="43.8984375" style="18" customWidth="1"/>
    <col min="4" max="4" width="28.8984375" style="18" customWidth="1"/>
    <col min="5" max="5" width="35.59765625" style="18" customWidth="1"/>
    <col min="6" max="6" width="26.59765625" style="18" customWidth="1"/>
    <col min="7" max="7" width="39.8984375" style="18" customWidth="1"/>
    <col min="8" max="11" width="9" style="18"/>
    <col min="12" max="17" width="9" style="18" customWidth="1"/>
    <col min="18" max="16384" width="9" style="18"/>
  </cols>
  <sheetData>
    <row r="1" spans="2:12" ht="78" customHeight="1" x14ac:dyDescent="0.4">
      <c r="B1" s="911" t="s">
        <v>368</v>
      </c>
      <c r="C1" s="1301" t="s">
        <v>618</v>
      </c>
      <c r="D1" s="1386"/>
      <c r="E1" s="1386"/>
      <c r="F1" s="1386"/>
      <c r="G1" s="1386"/>
      <c r="I1" s="276"/>
      <c r="J1" s="276"/>
      <c r="K1" s="276"/>
      <c r="L1" s="276"/>
    </row>
    <row r="2" spans="2:12" ht="13.95" customHeight="1" x14ac:dyDescent="0.4">
      <c r="B2" s="1"/>
      <c r="C2" s="331"/>
      <c r="D2" s="198"/>
      <c r="E2" s="198"/>
      <c r="F2" s="198"/>
      <c r="G2" s="199"/>
      <c r="I2" s="276"/>
      <c r="J2" s="276"/>
      <c r="K2" s="276"/>
      <c r="L2" s="276"/>
    </row>
    <row r="3" spans="2:12" ht="56.4" customHeight="1" x14ac:dyDescent="0.4">
      <c r="C3" s="1314" t="s">
        <v>619</v>
      </c>
      <c r="D3" s="1315"/>
      <c r="E3" s="1315"/>
      <c r="F3" s="1315"/>
      <c r="G3" s="122"/>
      <c r="I3" s="276"/>
      <c r="J3" s="276"/>
      <c r="K3" s="276"/>
      <c r="L3" s="276"/>
    </row>
    <row r="4" spans="2:12" x14ac:dyDescent="0.4">
      <c r="C4" s="118"/>
      <c r="G4" s="867"/>
      <c r="I4" s="276"/>
      <c r="J4" s="276"/>
      <c r="K4" s="276"/>
      <c r="L4" s="276"/>
    </row>
    <row r="5" spans="2:12" x14ac:dyDescent="0.4">
      <c r="B5" s="7" t="s">
        <v>371</v>
      </c>
      <c r="C5" s="983">
        <v>1</v>
      </c>
      <c r="G5" s="867"/>
      <c r="I5" s="276"/>
      <c r="J5" s="276"/>
      <c r="K5" s="276"/>
      <c r="L5" s="276"/>
    </row>
    <row r="6" spans="2:12" x14ac:dyDescent="0.4">
      <c r="B6" s="7" t="s">
        <v>447</v>
      </c>
      <c r="C6" s="983">
        <v>4</v>
      </c>
      <c r="G6" s="867"/>
      <c r="I6" s="276"/>
      <c r="J6" s="276"/>
      <c r="K6" s="276"/>
      <c r="L6" s="276"/>
    </row>
    <row r="7" spans="2:12" x14ac:dyDescent="0.4">
      <c r="B7" s="7" t="s">
        <v>620</v>
      </c>
      <c r="C7" s="983">
        <f>D13*15</f>
        <v>360</v>
      </c>
      <c r="D7" s="19"/>
      <c r="G7" s="866"/>
      <c r="I7" s="276"/>
      <c r="J7" s="276"/>
      <c r="K7" s="276"/>
      <c r="L7" s="276"/>
    </row>
    <row r="8" spans="2:12" x14ac:dyDescent="0.4">
      <c r="B8" s="7" t="s">
        <v>449</v>
      </c>
      <c r="C8" s="919">
        <f>C7*C6</f>
        <v>1440</v>
      </c>
      <c r="G8" s="866"/>
    </row>
    <row r="9" spans="2:12" x14ac:dyDescent="0.4">
      <c r="B9" s="7" t="s">
        <v>621</v>
      </c>
      <c r="C9" s="104">
        <f>C13+D13+F13</f>
        <v>29</v>
      </c>
      <c r="G9" s="866"/>
    </row>
    <row r="10" spans="2:12" x14ac:dyDescent="0.4">
      <c r="B10" s="2"/>
      <c r="C10" s="118"/>
      <c r="G10" s="866"/>
    </row>
    <row r="11" spans="2:12" x14ac:dyDescent="0.4">
      <c r="B11" s="3"/>
      <c r="C11" s="37" t="s">
        <v>512</v>
      </c>
      <c r="D11" s="1407" t="s">
        <v>583</v>
      </c>
      <c r="E11" s="1407"/>
      <c r="F11" s="1407" t="s">
        <v>622</v>
      </c>
      <c r="G11" s="1408"/>
    </row>
    <row r="12" spans="2:12" ht="15" customHeight="1" x14ac:dyDescent="0.4">
      <c r="B12" s="8" t="s">
        <v>584</v>
      </c>
      <c r="C12" s="149">
        <v>1</v>
      </c>
      <c r="D12" s="1401">
        <v>6</v>
      </c>
      <c r="E12" s="1401"/>
      <c r="F12" s="1401">
        <v>1</v>
      </c>
      <c r="G12" s="1404"/>
      <c r="H12" s="432"/>
    </row>
    <row r="13" spans="2:12" ht="15" customHeight="1" x14ac:dyDescent="0.4">
      <c r="B13" s="7" t="s">
        <v>382</v>
      </c>
      <c r="C13" s="149">
        <f>C12*$C$6</f>
        <v>4</v>
      </c>
      <c r="D13" s="1402">
        <f>D12*C6</f>
        <v>24</v>
      </c>
      <c r="E13" s="1402"/>
      <c r="F13" s="1402">
        <v>1</v>
      </c>
      <c r="G13" s="1405"/>
    </row>
    <row r="14" spans="2:12" ht="15" customHeight="1" x14ac:dyDescent="0.4">
      <c r="B14" s="7" t="s">
        <v>383</v>
      </c>
      <c r="C14" s="986">
        <v>54600</v>
      </c>
      <c r="D14" s="1403">
        <v>35700</v>
      </c>
      <c r="E14" s="1403"/>
      <c r="F14" s="1403">
        <v>65100</v>
      </c>
      <c r="G14" s="1406"/>
      <c r="H14" s="19"/>
    </row>
    <row r="15" spans="2:12" ht="15" customHeight="1" x14ac:dyDescent="0.4">
      <c r="B15" s="7" t="s">
        <v>384</v>
      </c>
      <c r="C15" s="987">
        <v>1</v>
      </c>
      <c r="D15" s="1409">
        <v>1</v>
      </c>
      <c r="E15" s="1409"/>
      <c r="F15" s="1409">
        <v>0.5</v>
      </c>
      <c r="G15" s="1411"/>
    </row>
    <row r="16" spans="2:12" ht="15" customHeight="1" x14ac:dyDescent="0.4">
      <c r="B16" s="7" t="s">
        <v>385</v>
      </c>
      <c r="C16" s="988">
        <v>0.25</v>
      </c>
      <c r="D16" s="1410">
        <v>0.25</v>
      </c>
      <c r="E16" s="1410"/>
      <c r="F16" s="1410">
        <v>0.25</v>
      </c>
      <c r="G16" s="1412"/>
    </row>
    <row r="17" spans="2:7" x14ac:dyDescent="0.4">
      <c r="B17" s="7"/>
      <c r="C17" s="150"/>
      <c r="D17" s="151"/>
      <c r="E17" s="151"/>
      <c r="F17" s="151"/>
      <c r="G17" s="152"/>
    </row>
    <row r="18" spans="2:7" x14ac:dyDescent="0.4">
      <c r="B18" s="7"/>
      <c r="C18" s="1025" t="s">
        <v>623</v>
      </c>
      <c r="D18" s="151"/>
      <c r="E18" s="151"/>
      <c r="F18" s="151"/>
      <c r="G18" s="152"/>
    </row>
    <row r="19" spans="2:7" ht="15" customHeight="1" x14ac:dyDescent="0.4">
      <c r="B19" s="7" t="s">
        <v>624</v>
      </c>
      <c r="C19" s="982">
        <v>6</v>
      </c>
      <c r="D19" s="151"/>
      <c r="E19" s="151"/>
      <c r="F19" s="151"/>
      <c r="G19" s="152"/>
    </row>
    <row r="20" spans="2:7" ht="15" customHeight="1" x14ac:dyDescent="0.4">
      <c r="B20" s="7" t="s">
        <v>625</v>
      </c>
      <c r="C20" s="982">
        <v>0</v>
      </c>
      <c r="D20" s="887"/>
      <c r="E20" s="151"/>
      <c r="F20" s="151"/>
      <c r="G20" s="152"/>
    </row>
    <row r="21" spans="2:7" ht="15" customHeight="1" x14ac:dyDescent="0.4">
      <c r="B21" s="7"/>
      <c r="C21" s="249"/>
      <c r="D21" s="151"/>
      <c r="E21" s="151"/>
      <c r="F21" s="151"/>
      <c r="G21" s="152"/>
    </row>
    <row r="22" spans="2:7" x14ac:dyDescent="0.4">
      <c r="B22" s="7" t="s">
        <v>451</v>
      </c>
      <c r="C22" s="983">
        <v>0.57499999999999996</v>
      </c>
      <c r="G22" s="866"/>
    </row>
    <row r="23" spans="2:7" x14ac:dyDescent="0.4">
      <c r="B23" s="7" t="s">
        <v>513</v>
      </c>
      <c r="C23" s="984">
        <v>400</v>
      </c>
      <c r="G23" s="866"/>
    </row>
    <row r="24" spans="2:7" ht="15" customHeight="1" x14ac:dyDescent="0.4">
      <c r="B24" s="7" t="s">
        <v>626</v>
      </c>
      <c r="C24" s="985">
        <v>7000</v>
      </c>
      <c r="D24" s="151"/>
      <c r="E24" s="151"/>
      <c r="F24" s="151"/>
      <c r="G24" s="152"/>
    </row>
    <row r="25" spans="2:7" ht="15" customHeight="1" x14ac:dyDescent="0.4">
      <c r="B25" s="7" t="s">
        <v>627</v>
      </c>
      <c r="C25" s="985">
        <v>7000</v>
      </c>
      <c r="D25" s="151"/>
      <c r="E25" s="151"/>
      <c r="F25" s="151"/>
      <c r="G25" s="152"/>
    </row>
    <row r="26" spans="2:7" ht="15" customHeight="1" x14ac:dyDescent="0.4">
      <c r="B26" s="7" t="s">
        <v>628</v>
      </c>
      <c r="C26" s="985">
        <v>7000</v>
      </c>
      <c r="D26" s="151"/>
      <c r="E26" s="151"/>
      <c r="F26" s="151"/>
      <c r="G26" s="152"/>
    </row>
    <row r="27" spans="2:7" ht="14.4" customHeight="1" thickBot="1" x14ac:dyDescent="0.45">
      <c r="B27" s="1"/>
      <c r="C27" s="31"/>
      <c r="D27" s="4"/>
      <c r="E27" s="4"/>
      <c r="F27" s="4"/>
      <c r="G27" s="25"/>
    </row>
    <row r="28" spans="2:7" ht="30" customHeight="1" thickTop="1" x14ac:dyDescent="0.55000000000000004">
      <c r="B28" s="1"/>
      <c r="C28" s="39" t="s">
        <v>629</v>
      </c>
      <c r="D28" s="5"/>
      <c r="E28" s="5"/>
      <c r="F28" s="5"/>
      <c r="G28" s="40"/>
    </row>
    <row r="29" spans="2:7" ht="30" customHeight="1" x14ac:dyDescent="0.4">
      <c r="B29" s="1"/>
      <c r="C29" s="31"/>
      <c r="D29" s="4"/>
      <c r="E29" s="4"/>
      <c r="F29" s="4"/>
      <c r="G29" s="25"/>
    </row>
    <row r="30" spans="2:7" ht="30" customHeight="1" x14ac:dyDescent="0.4">
      <c r="B30" s="1"/>
      <c r="C30" s="31"/>
      <c r="D30" s="4"/>
      <c r="E30" s="4"/>
      <c r="F30" s="4"/>
      <c r="G30" s="25"/>
    </row>
    <row r="31" spans="2:7" ht="30" customHeight="1" x14ac:dyDescent="0.4">
      <c r="B31" s="1"/>
      <c r="C31" s="31"/>
      <c r="D31" s="4"/>
      <c r="E31" s="4"/>
      <c r="F31" s="4"/>
      <c r="G31" s="25"/>
    </row>
    <row r="32" spans="2:7" ht="30" customHeight="1" x14ac:dyDescent="0.4">
      <c r="B32" s="1"/>
      <c r="C32" s="31"/>
      <c r="D32" s="4"/>
      <c r="E32" s="4"/>
      <c r="F32" s="4"/>
      <c r="G32" s="25"/>
    </row>
    <row r="33" spans="2:8" ht="30" customHeight="1" x14ac:dyDescent="0.4">
      <c r="B33" s="1"/>
      <c r="C33" s="31"/>
      <c r="D33" s="4"/>
      <c r="E33" s="4"/>
      <c r="F33" s="4"/>
      <c r="G33" s="25"/>
    </row>
    <row r="34" spans="2:8" ht="30" customHeight="1" x14ac:dyDescent="0.4">
      <c r="B34" s="1"/>
      <c r="C34" s="31"/>
      <c r="D34" s="4"/>
      <c r="E34" s="4"/>
      <c r="F34" s="4"/>
      <c r="G34" s="25"/>
    </row>
    <row r="35" spans="2:8" ht="65.25" customHeight="1" x14ac:dyDescent="0.4">
      <c r="B35" s="1"/>
      <c r="C35" s="31"/>
      <c r="D35" s="4"/>
      <c r="E35" s="4"/>
      <c r="F35" s="4"/>
      <c r="G35" s="25"/>
    </row>
    <row r="36" spans="2:8" ht="65.25" customHeight="1" x14ac:dyDescent="0.4">
      <c r="B36" s="1"/>
      <c r="C36" s="1398" t="s">
        <v>630</v>
      </c>
      <c r="D36" s="1399"/>
      <c r="E36" s="1399"/>
      <c r="F36" s="1399"/>
      <c r="G36" s="1400"/>
    </row>
    <row r="37" spans="2:8" ht="31.2" customHeight="1" x14ac:dyDescent="0.55000000000000004">
      <c r="C37" s="116" t="s">
        <v>459</v>
      </c>
      <c r="D37" s="115"/>
      <c r="E37" s="115"/>
      <c r="F37" s="115"/>
      <c r="G37" s="117"/>
    </row>
    <row r="38" spans="2:8" ht="13.2" customHeight="1" x14ac:dyDescent="0.4">
      <c r="C38" s="118"/>
      <c r="D38" s="289" t="s">
        <v>392</v>
      </c>
      <c r="E38" s="289" t="s">
        <v>393</v>
      </c>
      <c r="F38" s="289" t="s">
        <v>631</v>
      </c>
      <c r="G38" s="290" t="s">
        <v>334</v>
      </c>
    </row>
    <row r="39" spans="2:8" ht="19.95" customHeight="1" x14ac:dyDescent="0.4">
      <c r="C39" s="265" t="s">
        <v>632</v>
      </c>
      <c r="D39" s="119"/>
      <c r="E39" s="119"/>
      <c r="F39" s="119"/>
      <c r="G39" s="120"/>
    </row>
    <row r="40" spans="2:8" ht="25.2" customHeight="1" x14ac:dyDescent="0.4">
      <c r="C40" s="41" t="s">
        <v>633</v>
      </c>
      <c r="D40" s="42"/>
      <c r="E40" s="42"/>
      <c r="F40" s="42"/>
      <c r="G40" s="43"/>
    </row>
    <row r="41" spans="2:8" ht="18" customHeight="1" x14ac:dyDescent="0.65">
      <c r="C41" s="291" t="s">
        <v>634</v>
      </c>
      <c r="D41" s="10">
        <f>C12*1830</f>
        <v>1830</v>
      </c>
      <c r="E41" s="10">
        <v>0</v>
      </c>
      <c r="F41" s="10">
        <v>0</v>
      </c>
      <c r="G41" s="26"/>
      <c r="H41" s="153"/>
    </row>
    <row r="42" spans="2:8" ht="18" customHeight="1" x14ac:dyDescent="0.65">
      <c r="C42" s="291" t="s">
        <v>635</v>
      </c>
      <c r="D42" s="10">
        <f>F12*2530</f>
        <v>2530</v>
      </c>
      <c r="E42" s="10">
        <v>0</v>
      </c>
      <c r="F42" s="10">
        <v>0</v>
      </c>
      <c r="G42" s="26"/>
      <c r="H42" s="153"/>
    </row>
    <row r="43" spans="2:8" ht="18" customHeight="1" x14ac:dyDescent="0.4">
      <c r="C43" s="291" t="s">
        <v>636</v>
      </c>
      <c r="D43" s="10">
        <f>C19*700</f>
        <v>4200</v>
      </c>
      <c r="E43" s="10">
        <v>0</v>
      </c>
      <c r="F43" s="10">
        <v>0</v>
      </c>
      <c r="G43" s="26"/>
    </row>
    <row r="44" spans="2:8" ht="18" customHeight="1" x14ac:dyDescent="0.4">
      <c r="C44" s="291" t="s">
        <v>637</v>
      </c>
      <c r="D44" s="10">
        <f>C20*700</f>
        <v>0</v>
      </c>
      <c r="E44" s="10">
        <v>0</v>
      </c>
      <c r="F44" s="10">
        <v>0</v>
      </c>
      <c r="G44" s="26"/>
    </row>
    <row r="45" spans="2:8" ht="14.4" customHeight="1" x14ac:dyDescent="0.4">
      <c r="C45" s="33"/>
      <c r="D45" s="10"/>
      <c r="E45" s="10"/>
      <c r="F45" s="10"/>
      <c r="G45" s="26"/>
    </row>
    <row r="46" spans="2:8" ht="25.2" customHeight="1" x14ac:dyDescent="0.4">
      <c r="C46" s="865" t="s">
        <v>638</v>
      </c>
      <c r="D46" s="10"/>
      <c r="E46" s="10"/>
      <c r="F46" s="10"/>
      <c r="G46" s="26"/>
    </row>
    <row r="47" spans="2:8" ht="14.4" customHeight="1" x14ac:dyDescent="0.4">
      <c r="C47" s="33" t="s">
        <v>639</v>
      </c>
      <c r="D47" s="10">
        <v>1000</v>
      </c>
      <c r="E47" s="10"/>
      <c r="F47" s="10"/>
      <c r="G47" s="26"/>
      <c r="H47" s="19"/>
    </row>
    <row r="48" spans="2:8" ht="14.4" customHeight="1" x14ac:dyDescent="0.4">
      <c r="C48" s="291" t="s">
        <v>640</v>
      </c>
      <c r="D48" s="981"/>
      <c r="E48" s="981"/>
      <c r="F48" s="981"/>
      <c r="G48" s="1026" t="s">
        <v>641</v>
      </c>
      <c r="H48" s="19"/>
    </row>
    <row r="49" spans="3:8" ht="14.4" customHeight="1" x14ac:dyDescent="0.4">
      <c r="C49" s="291" t="s">
        <v>642</v>
      </c>
      <c r="D49" s="10">
        <v>500</v>
      </c>
      <c r="E49" s="10">
        <v>500</v>
      </c>
      <c r="F49" s="10">
        <v>500</v>
      </c>
      <c r="G49" s="26"/>
      <c r="H49" s="19"/>
    </row>
    <row r="50" spans="3:8" ht="14.4" customHeight="1" x14ac:dyDescent="0.4">
      <c r="C50" s="291"/>
      <c r="D50" s="10"/>
      <c r="E50" s="10"/>
      <c r="F50" s="10"/>
      <c r="G50" s="26"/>
      <c r="H50" s="19"/>
    </row>
    <row r="51" spans="3:8" ht="25.2" customHeight="1" x14ac:dyDescent="0.4">
      <c r="C51" s="41" t="s">
        <v>643</v>
      </c>
      <c r="D51" s="10"/>
      <c r="E51" s="10"/>
      <c r="F51" s="10"/>
      <c r="G51" s="26"/>
      <c r="H51" s="19"/>
    </row>
    <row r="52" spans="3:8" x14ac:dyDescent="0.4">
      <c r="C52" s="291" t="s">
        <v>406</v>
      </c>
      <c r="D52" s="10">
        <f>5000*C5</f>
        <v>5000</v>
      </c>
      <c r="E52" s="10">
        <f>5000*C5</f>
        <v>5000</v>
      </c>
      <c r="F52" s="10">
        <f>5000*C5</f>
        <v>5000</v>
      </c>
      <c r="G52" s="450" t="s">
        <v>644</v>
      </c>
      <c r="H52" s="19"/>
    </row>
    <row r="53" spans="3:8" ht="14.4" customHeight="1" x14ac:dyDescent="0.4">
      <c r="C53" s="291" t="s">
        <v>645</v>
      </c>
      <c r="D53" s="10">
        <f>500*C5</f>
        <v>500</v>
      </c>
      <c r="E53" s="10">
        <v>0</v>
      </c>
      <c r="F53" s="10">
        <v>0</v>
      </c>
      <c r="G53" s="154"/>
      <c r="H53" s="19"/>
    </row>
    <row r="54" spans="3:8" ht="14.4" customHeight="1" x14ac:dyDescent="0.4">
      <c r="C54" s="291" t="s">
        <v>646</v>
      </c>
      <c r="D54" s="10"/>
      <c r="E54" s="10">
        <f>250*C5</f>
        <v>250</v>
      </c>
      <c r="F54" s="10">
        <v>0</v>
      </c>
      <c r="G54" s="154"/>
      <c r="H54" s="19"/>
    </row>
    <row r="55" spans="3:8" ht="14.4" customHeight="1" x14ac:dyDescent="0.4">
      <c r="C55" s="155"/>
      <c r="D55" s="10"/>
      <c r="E55" s="98"/>
      <c r="F55" s="98"/>
      <c r="G55" s="156"/>
      <c r="H55" s="19"/>
    </row>
    <row r="56" spans="3:8" ht="25.2" customHeight="1" x14ac:dyDescent="0.4">
      <c r="C56" s="41" t="s">
        <v>473</v>
      </c>
      <c r="D56" s="10"/>
      <c r="E56" s="98"/>
      <c r="F56" s="98"/>
      <c r="G56" s="156"/>
      <c r="H56" s="19"/>
    </row>
    <row r="57" spans="3:8" ht="14.4" customHeight="1" x14ac:dyDescent="0.4">
      <c r="C57" s="33" t="s">
        <v>647</v>
      </c>
      <c r="D57" s="979">
        <f>350*D13</f>
        <v>8400</v>
      </c>
      <c r="E57" s="979">
        <f>350*D13</f>
        <v>8400</v>
      </c>
      <c r="F57" s="979">
        <f>350*D13</f>
        <v>8400</v>
      </c>
      <c r="G57" s="156" t="s">
        <v>648</v>
      </c>
      <c r="H57" s="19"/>
    </row>
    <row r="58" spans="3:8" ht="14.4" customHeight="1" x14ac:dyDescent="0.4">
      <c r="C58" s="33" t="s">
        <v>649</v>
      </c>
      <c r="D58" s="979"/>
      <c r="E58" s="980"/>
      <c r="F58" s="980"/>
      <c r="G58" s="1026" t="s">
        <v>641</v>
      </c>
      <c r="H58" s="19"/>
    </row>
    <row r="59" spans="3:8" ht="14.4" customHeight="1" x14ac:dyDescent="0.4">
      <c r="C59" s="93"/>
      <c r="D59" s="10"/>
      <c r="E59" s="98"/>
      <c r="F59" s="98"/>
      <c r="G59" s="45"/>
    </row>
    <row r="60" spans="3:8" x14ac:dyDescent="0.4">
      <c r="C60" s="47" t="s">
        <v>409</v>
      </c>
      <c r="D60" s="12">
        <f>SUM(D41:D59)</f>
        <v>23960</v>
      </c>
      <c r="E60" s="12">
        <f>SUM(E41:E59)</f>
        <v>14150</v>
      </c>
      <c r="F60" s="12">
        <f>SUM(F41:F59)</f>
        <v>13900</v>
      </c>
      <c r="G60" s="48"/>
    </row>
    <row r="61" spans="3:8" x14ac:dyDescent="0.4">
      <c r="C61" s="121"/>
      <c r="D61" s="9"/>
      <c r="E61" s="9"/>
      <c r="F61" s="9"/>
      <c r="G61" s="27"/>
    </row>
    <row r="62" spans="3:8" ht="19.95" customHeight="1" x14ac:dyDescent="0.4">
      <c r="C62" s="265" t="s">
        <v>650</v>
      </c>
      <c r="D62" s="49"/>
      <c r="E62" s="49"/>
      <c r="F62" s="49"/>
      <c r="G62" s="50"/>
    </row>
    <row r="63" spans="3:8" ht="25.2" customHeight="1" x14ac:dyDescent="0.4">
      <c r="C63" s="59" t="s">
        <v>412</v>
      </c>
      <c r="D63" s="9"/>
      <c r="E63" s="9"/>
      <c r="F63" s="9"/>
      <c r="G63" s="26"/>
    </row>
    <row r="64" spans="3:8" x14ac:dyDescent="0.4">
      <c r="C64" s="33" t="s">
        <v>414</v>
      </c>
      <c r="D64" s="10">
        <f>C14*C13*C15</f>
        <v>218400</v>
      </c>
      <c r="E64" s="10">
        <f>C14*C13*C15</f>
        <v>218400</v>
      </c>
      <c r="F64" s="10">
        <f>C14*C13*C15</f>
        <v>218400</v>
      </c>
      <c r="G64" s="26"/>
    </row>
    <row r="65" spans="3:7" x14ac:dyDescent="0.4">
      <c r="C65" s="33" t="s">
        <v>651</v>
      </c>
      <c r="D65" s="10">
        <f>D14*D13*D15</f>
        <v>856800</v>
      </c>
      <c r="E65" s="10">
        <f>D14*D13*D15</f>
        <v>856800</v>
      </c>
      <c r="F65" s="10">
        <f>D14*D13*D15</f>
        <v>856800</v>
      </c>
      <c r="G65" s="26"/>
    </row>
    <row r="66" spans="3:7" x14ac:dyDescent="0.4">
      <c r="C66" s="33" t="s">
        <v>652</v>
      </c>
      <c r="D66" s="10">
        <f>F13*F14*F15</f>
        <v>32550</v>
      </c>
      <c r="E66" s="10">
        <f>F13*F14*F15</f>
        <v>32550</v>
      </c>
      <c r="F66" s="10">
        <f>F13*F14*F15</f>
        <v>32550</v>
      </c>
      <c r="G66" s="27"/>
    </row>
    <row r="67" spans="3:7" x14ac:dyDescent="0.4">
      <c r="C67" s="52" t="s">
        <v>415</v>
      </c>
      <c r="D67" s="11">
        <f>(D64*C16)+(D65*D16)+(D66*F16)</f>
        <v>276937.5</v>
      </c>
      <c r="E67" s="11">
        <f>(E64*C16)+(E65*D16)+(E66*F16)</f>
        <v>276937.5</v>
      </c>
      <c r="F67" s="11">
        <f>(F64*C16)+(F65*D16)+(F66*F16)</f>
        <v>276937.5</v>
      </c>
      <c r="G67" s="53"/>
    </row>
    <row r="68" spans="3:7" x14ac:dyDescent="0.4">
      <c r="C68" s="155"/>
      <c r="D68" s="10"/>
      <c r="E68" s="10"/>
      <c r="F68" s="10"/>
      <c r="G68" s="157"/>
    </row>
    <row r="69" spans="3:7" x14ac:dyDescent="0.4">
      <c r="C69" s="32" t="s">
        <v>416</v>
      </c>
      <c r="D69" s="15"/>
      <c r="E69" s="15"/>
      <c r="F69" s="15"/>
      <c r="G69" s="28"/>
    </row>
    <row r="70" spans="3:7" x14ac:dyDescent="0.4">
      <c r="C70" s="33" t="s">
        <v>653</v>
      </c>
      <c r="D70" s="10">
        <v>412</v>
      </c>
      <c r="E70" s="10">
        <v>412</v>
      </c>
      <c r="F70" s="10">
        <v>412</v>
      </c>
      <c r="G70" s="26" t="s">
        <v>654</v>
      </c>
    </row>
    <row r="71" spans="3:7" x14ac:dyDescent="0.4">
      <c r="C71" s="33" t="s">
        <v>536</v>
      </c>
      <c r="D71" s="10">
        <f>(C23*C22)*C9*12</f>
        <v>80039.999999999985</v>
      </c>
      <c r="E71" s="10">
        <f>(C23*C22)*C9*12</f>
        <v>80039.999999999985</v>
      </c>
      <c r="F71" s="10">
        <f>(C23*C22)*C9*12</f>
        <v>80039.999999999985</v>
      </c>
      <c r="G71" s="29"/>
    </row>
    <row r="72" spans="3:7" x14ac:dyDescent="0.4">
      <c r="C72" s="33" t="s">
        <v>421</v>
      </c>
      <c r="D72" s="23">
        <f>C24*C6</f>
        <v>28000</v>
      </c>
      <c r="E72" s="23">
        <f>C24*C6</f>
        <v>28000</v>
      </c>
      <c r="F72" s="23">
        <f>C24*C6</f>
        <v>28000</v>
      </c>
      <c r="G72" s="255"/>
    </row>
    <row r="73" spans="3:7" x14ac:dyDescent="0.4">
      <c r="C73" s="33" t="s">
        <v>422</v>
      </c>
      <c r="D73" s="23">
        <f>C25*C6</f>
        <v>28000</v>
      </c>
      <c r="E73" s="23">
        <f>C25*C6</f>
        <v>28000</v>
      </c>
      <c r="F73" s="23">
        <f>C25*C6</f>
        <v>28000</v>
      </c>
      <c r="G73" s="255"/>
    </row>
    <row r="74" spans="3:7" x14ac:dyDescent="0.4">
      <c r="C74" s="33" t="s">
        <v>423</v>
      </c>
      <c r="D74" s="23">
        <f>C26*C6</f>
        <v>28000</v>
      </c>
      <c r="E74" s="23">
        <f>C26*C6</f>
        <v>28000</v>
      </c>
      <c r="F74" s="23">
        <f>C26*C6</f>
        <v>28000</v>
      </c>
      <c r="G74" s="255"/>
    </row>
    <row r="75" spans="3:7" x14ac:dyDescent="0.4">
      <c r="C75" s="253"/>
      <c r="G75" s="254"/>
    </row>
    <row r="76" spans="3:7" x14ac:dyDescent="0.4">
      <c r="C76" s="250" t="s">
        <v>409</v>
      </c>
      <c r="D76" s="251">
        <f>SUM(D64:D74)</f>
        <v>1549139.5</v>
      </c>
      <c r="E76" s="251">
        <f>SUM(E64:E74)</f>
        <v>1549139.5</v>
      </c>
      <c r="F76" s="251">
        <f>SUM(F64:F74)</f>
        <v>1549139.5</v>
      </c>
      <c r="G76" s="252"/>
    </row>
    <row r="77" spans="3:7" x14ac:dyDescent="0.4">
      <c r="C77" s="56"/>
      <c r="D77" s="9"/>
      <c r="E77" s="9"/>
      <c r="F77" s="9"/>
      <c r="G77" s="57"/>
    </row>
    <row r="78" spans="3:7" x14ac:dyDescent="0.4">
      <c r="C78" s="58" t="s">
        <v>424</v>
      </c>
      <c r="D78" s="16">
        <f>D60+D76</f>
        <v>1573099.5</v>
      </c>
      <c r="E78" s="16">
        <f>E76+E60</f>
        <v>1563289.5</v>
      </c>
      <c r="F78" s="16">
        <f>F76+F60</f>
        <v>1563039.5</v>
      </c>
      <c r="G78" s="55"/>
    </row>
    <row r="79" spans="3:7" x14ac:dyDescent="0.4">
      <c r="C79" s="59"/>
      <c r="D79" s="17"/>
      <c r="E79" s="17"/>
      <c r="F79" s="17"/>
      <c r="G79" s="57"/>
    </row>
    <row r="80" spans="3:7" ht="19.95" customHeight="1" x14ac:dyDescent="0.4">
      <c r="C80" s="265" t="s">
        <v>425</v>
      </c>
      <c r="D80" s="49"/>
      <c r="E80" s="49"/>
      <c r="F80" s="49"/>
      <c r="G80" s="50"/>
    </row>
    <row r="81" spans="2:7" x14ac:dyDescent="0.4">
      <c r="C81" s="32" t="s">
        <v>426</v>
      </c>
      <c r="D81" s="9"/>
      <c r="E81" s="9"/>
      <c r="F81" s="9"/>
      <c r="G81" s="27"/>
    </row>
    <row r="82" spans="2:7" ht="27.6" x14ac:dyDescent="0.4">
      <c r="C82" s="291" t="s">
        <v>427</v>
      </c>
      <c r="D82" s="10">
        <f>(D78*0.1)-D74</f>
        <v>129309.95000000001</v>
      </c>
      <c r="E82" s="10">
        <f>(E78*0.1)-E74</f>
        <v>128328.95000000001</v>
      </c>
      <c r="F82" s="10">
        <f>(F78*0.1)-F74</f>
        <v>128303.95000000001</v>
      </c>
      <c r="G82" s="355" t="s">
        <v>609</v>
      </c>
    </row>
    <row r="83" spans="2:7" x14ac:dyDescent="0.4">
      <c r="C83" s="93"/>
      <c r="D83" s="78"/>
      <c r="E83" s="78"/>
      <c r="F83" s="78"/>
      <c r="G83" s="27"/>
    </row>
    <row r="84" spans="2:7" x14ac:dyDescent="0.4">
      <c r="C84" s="58" t="s">
        <v>429</v>
      </c>
      <c r="D84" s="16">
        <f>D82</f>
        <v>129309.95000000001</v>
      </c>
      <c r="E84" s="16">
        <f>SUM(E82:E83)</f>
        <v>128328.95000000001</v>
      </c>
      <c r="F84" s="16">
        <f>SUM(F82:F83)</f>
        <v>128303.95000000001</v>
      </c>
      <c r="G84" s="55"/>
    </row>
    <row r="85" spans="2:7" x14ac:dyDescent="0.4">
      <c r="C85" s="59"/>
      <c r="D85" s="17"/>
      <c r="E85" s="17"/>
      <c r="F85" s="17"/>
      <c r="G85" s="57"/>
    </row>
    <row r="86" spans="2:7" ht="17.399999999999999" thickBot="1" x14ac:dyDescent="0.45">
      <c r="C86" s="59"/>
      <c r="D86" s="158"/>
      <c r="E86" s="158"/>
      <c r="F86" s="158"/>
      <c r="G86" s="57"/>
    </row>
    <row r="87" spans="2:7" ht="32.4" customHeight="1" thickTop="1" x14ac:dyDescent="0.45">
      <c r="C87" s="159" t="s">
        <v>655</v>
      </c>
      <c r="D87" s="1030">
        <f>D78+D84</f>
        <v>1702409.45</v>
      </c>
      <c r="E87" s="1030">
        <f>E78+E84</f>
        <v>1691618.45</v>
      </c>
      <c r="F87" s="1030">
        <f>F78+F84</f>
        <v>1691343.45</v>
      </c>
      <c r="G87" s="161"/>
    </row>
    <row r="88" spans="2:7" ht="32.4" customHeight="1" x14ac:dyDescent="0.45">
      <c r="C88" s="1029" t="s">
        <v>430</v>
      </c>
      <c r="D88" s="1415">
        <f>D87+E87+F87</f>
        <v>5085371.3499999996</v>
      </c>
      <c r="E88" s="1415"/>
      <c r="F88" s="1415"/>
      <c r="G88" s="163"/>
    </row>
    <row r="89" spans="2:7" ht="19.8" thickBot="1" x14ac:dyDescent="0.5">
      <c r="C89" s="164" t="s">
        <v>656</v>
      </c>
      <c r="D89" s="1031"/>
      <c r="E89" s="1031"/>
      <c r="F89" s="1031">
        <f>F87/C8</f>
        <v>1174.5440624999999</v>
      </c>
      <c r="G89" s="165"/>
    </row>
    <row r="90" spans="2:7" ht="17.399999999999999" thickTop="1" x14ac:dyDescent="0.4">
      <c r="C90" s="451"/>
      <c r="D90" s="452"/>
      <c r="E90" s="452"/>
      <c r="F90" s="452"/>
      <c r="G90" s="453"/>
    </row>
    <row r="91" spans="2:7" x14ac:dyDescent="0.4">
      <c r="C91" s="888" t="s">
        <v>432</v>
      </c>
      <c r="G91" s="122"/>
    </row>
    <row r="92" spans="2:7" x14ac:dyDescent="0.4">
      <c r="B92" s="19"/>
      <c r="C92" s="886" t="s">
        <v>657</v>
      </c>
      <c r="G92" s="122"/>
    </row>
    <row r="93" spans="2:7" ht="44.25" customHeight="1" x14ac:dyDescent="0.4">
      <c r="C93" s="1416" t="s">
        <v>658</v>
      </c>
      <c r="D93" s="1416"/>
      <c r="E93" s="1416"/>
      <c r="F93" s="1416"/>
      <c r="G93" s="1417"/>
    </row>
    <row r="94" spans="2:7" x14ac:dyDescent="0.4">
      <c r="C94" s="441"/>
      <c r="D94" s="1156"/>
      <c r="E94" s="1156"/>
      <c r="G94" s="122"/>
    </row>
    <row r="95" spans="2:7" x14ac:dyDescent="0.4">
      <c r="C95" s="446" t="s">
        <v>439</v>
      </c>
      <c r="D95" s="447"/>
      <c r="E95" s="447"/>
      <c r="F95" s="448"/>
      <c r="G95" s="449"/>
    </row>
    <row r="96" spans="2:7" x14ac:dyDescent="0.4">
      <c r="C96" s="1308" t="s">
        <v>440</v>
      </c>
      <c r="D96" s="1309"/>
      <c r="E96" s="1309"/>
      <c r="F96" s="1309"/>
      <c r="G96" s="442"/>
    </row>
    <row r="97" spans="3:7" x14ac:dyDescent="0.4">
      <c r="C97" s="1310"/>
      <c r="D97" s="1311"/>
      <c r="E97" s="1311"/>
      <c r="F97" s="1311"/>
      <c r="G97" s="444"/>
    </row>
    <row r="98" spans="3:7" x14ac:dyDescent="0.4">
      <c r="C98" s="1312"/>
      <c r="D98" s="1313"/>
      <c r="E98" s="1313"/>
      <c r="F98" s="1313"/>
      <c r="G98" s="445"/>
    </row>
    <row r="99" spans="3:7" x14ac:dyDescent="0.4">
      <c r="C99" s="1295" t="s">
        <v>659</v>
      </c>
      <c r="D99" s="1296"/>
      <c r="E99" s="1296"/>
      <c r="F99" s="1296"/>
      <c r="G99" s="444"/>
    </row>
    <row r="100" spans="3:7" x14ac:dyDescent="0.4">
      <c r="C100" s="443" t="s">
        <v>660</v>
      </c>
      <c r="D100" s="386"/>
      <c r="E100" s="386"/>
      <c r="F100" s="386"/>
      <c r="G100" s="444"/>
    </row>
    <row r="101" spans="3:7" x14ac:dyDescent="0.4">
      <c r="C101" s="443" t="s">
        <v>661</v>
      </c>
      <c r="D101" s="386"/>
      <c r="E101" s="386"/>
      <c r="F101" s="386"/>
      <c r="G101" s="444"/>
    </row>
    <row r="102" spans="3:7" x14ac:dyDescent="0.4">
      <c r="C102" s="1297" t="s">
        <v>444</v>
      </c>
      <c r="D102" s="1298"/>
      <c r="E102" s="386"/>
      <c r="F102" s="386"/>
      <c r="G102" s="444"/>
    </row>
    <row r="103" spans="3:7" x14ac:dyDescent="0.4">
      <c r="C103" s="1413" t="s">
        <v>445</v>
      </c>
      <c r="D103" s="1414"/>
      <c r="E103" s="1414"/>
      <c r="F103" s="1414"/>
      <c r="G103" s="444"/>
    </row>
  </sheetData>
  <mergeCells count="21">
    <mergeCell ref="C96:F98"/>
    <mergeCell ref="C99:F99"/>
    <mergeCell ref="C102:D102"/>
    <mergeCell ref="C103:F103"/>
    <mergeCell ref="D88:F88"/>
    <mergeCell ref="C93:G93"/>
    <mergeCell ref="C36:G36"/>
    <mergeCell ref="C1:G1"/>
    <mergeCell ref="D12:E12"/>
    <mergeCell ref="D13:E13"/>
    <mergeCell ref="D14:E14"/>
    <mergeCell ref="F12:G12"/>
    <mergeCell ref="F13:G13"/>
    <mergeCell ref="F14:G14"/>
    <mergeCell ref="F11:G11"/>
    <mergeCell ref="D11:E11"/>
    <mergeCell ref="C3:F3"/>
    <mergeCell ref="D15:E15"/>
    <mergeCell ref="D16:E16"/>
    <mergeCell ref="F15:G15"/>
    <mergeCell ref="F16:G16"/>
  </mergeCells>
  <hyperlinks>
    <hyperlink ref="C92" r:id="rId1" xr:uid="{82EDA51C-258B-4063-ABF0-CFA33AF09AFD}"/>
    <hyperlink ref="C103:F103" r:id="rId2" display="Click here for more on WSIPP's BSFT Benefit-Cost Analysis" xr:uid="{C56A9EF3-C094-4F49-AA2E-91EE67AA8836}"/>
  </hyperlinks>
  <pageMargins left="0.25" right="0.25" top="0.75" bottom="0.75" header="0.3" footer="0.3"/>
  <pageSetup scale="55" orientation="portrait" r:id="rId3"/>
  <drawing r:id="rId4"/>
  <legacy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DAD96-64B6-4570-9C29-902833BEDEE4}">
  <dimension ref="A1:H91"/>
  <sheetViews>
    <sheetView zoomScale="80" zoomScaleNormal="80" workbookViewId="0">
      <selection activeCell="B36" sqref="B36"/>
    </sheetView>
  </sheetViews>
  <sheetFormatPr defaultColWidth="8.19921875" defaultRowHeight="16.8" x14ac:dyDescent="0.4"/>
  <cols>
    <col min="1" max="1" width="2.19921875" style="18" customWidth="1"/>
    <col min="2" max="2" width="36.296875" style="18" customWidth="1"/>
    <col min="3" max="3" width="48" style="18" customWidth="1"/>
    <col min="4" max="6" width="28.59765625" style="18" customWidth="1"/>
    <col min="7" max="7" width="33.3984375" style="18" customWidth="1"/>
    <col min="8" max="8" width="8" style="18" customWidth="1"/>
    <col min="9" max="16384" width="8.19921875" style="18"/>
  </cols>
  <sheetData>
    <row r="1" spans="2:7" ht="78" customHeight="1" x14ac:dyDescent="0.4">
      <c r="B1" s="1230" t="s">
        <v>368</v>
      </c>
      <c r="C1" s="1421" t="s">
        <v>21</v>
      </c>
      <c r="D1" s="1422"/>
      <c r="E1" s="1422"/>
      <c r="F1" s="1422"/>
      <c r="G1" s="1423"/>
    </row>
    <row r="2" spans="2:7" ht="11.4" customHeight="1" x14ac:dyDescent="0.4">
      <c r="B2" s="1"/>
      <c r="C2" s="331"/>
      <c r="D2" s="198"/>
      <c r="E2" s="198"/>
      <c r="F2" s="198"/>
      <c r="G2" s="199"/>
    </row>
    <row r="3" spans="2:7" ht="66" customHeight="1" x14ac:dyDescent="0.4">
      <c r="C3" s="1371" t="s">
        <v>370</v>
      </c>
      <c r="D3" s="1372"/>
      <c r="E3" s="1372"/>
      <c r="F3" s="1372"/>
      <c r="G3" s="1373"/>
    </row>
    <row r="4" spans="2:7" x14ac:dyDescent="0.4">
      <c r="C4" s="118"/>
      <c r="G4" s="122"/>
    </row>
    <row r="5" spans="2:7" s="372" customFormat="1" ht="15" customHeight="1" x14ac:dyDescent="0.4">
      <c r="B5" s="224" t="s">
        <v>371</v>
      </c>
      <c r="C5" s="927">
        <v>1</v>
      </c>
      <c r="D5" s="1224"/>
      <c r="E5" s="1224"/>
      <c r="F5" s="1224"/>
      <c r="G5" s="672"/>
    </row>
    <row r="6" spans="2:7" s="372" customFormat="1" ht="15" customHeight="1" x14ac:dyDescent="0.4">
      <c r="B6" s="224" t="s">
        <v>447</v>
      </c>
      <c r="C6" s="927">
        <v>1</v>
      </c>
      <c r="D6" s="1224"/>
      <c r="E6" s="1224"/>
      <c r="F6" s="1224"/>
      <c r="G6" s="619"/>
    </row>
    <row r="7" spans="2:7" s="372" customFormat="1" ht="15" customHeight="1" x14ac:dyDescent="0.4">
      <c r="B7" s="224" t="s">
        <v>1105</v>
      </c>
      <c r="C7" s="709">
        <v>16</v>
      </c>
      <c r="D7" s="1229"/>
      <c r="E7" s="1229"/>
      <c r="F7" s="1229"/>
      <c r="G7" s="1228"/>
    </row>
    <row r="8" spans="2:7" s="372" customFormat="1" ht="15" customHeight="1" x14ac:dyDescent="0.4">
      <c r="B8" s="224" t="s">
        <v>1104</v>
      </c>
      <c r="C8" s="1226">
        <f>(C7*4.375)*C6</f>
        <v>70</v>
      </c>
      <c r="D8" s="1225"/>
      <c r="E8" s="1224"/>
      <c r="F8" s="1224"/>
      <c r="G8" s="599"/>
    </row>
    <row r="9" spans="2:7" s="372" customFormat="1" ht="15" customHeight="1" x14ac:dyDescent="0.4">
      <c r="B9" s="224" t="s">
        <v>1103</v>
      </c>
      <c r="C9" s="1227">
        <v>18</v>
      </c>
      <c r="D9" s="1224"/>
      <c r="E9" s="1224"/>
      <c r="F9" s="1224"/>
      <c r="G9" s="599"/>
    </row>
    <row r="10" spans="2:7" s="372" customFormat="1" ht="15" customHeight="1" x14ac:dyDescent="0.4">
      <c r="B10" s="224" t="s">
        <v>1102</v>
      </c>
      <c r="C10" s="1226">
        <f>(C9*4.375)*C6</f>
        <v>78.75</v>
      </c>
      <c r="D10" s="1225"/>
      <c r="E10" s="1224"/>
      <c r="F10" s="1224"/>
      <c r="G10" s="599"/>
    </row>
    <row r="11" spans="2:7" s="372" customFormat="1" ht="15" customHeight="1" x14ac:dyDescent="0.4">
      <c r="B11" s="224" t="s">
        <v>587</v>
      </c>
      <c r="C11" s="601">
        <f>C15+D15+E15+F15</f>
        <v>7</v>
      </c>
      <c r="D11" s="1224"/>
      <c r="E11" s="1224"/>
      <c r="F11" s="1224"/>
      <c r="G11" s="672"/>
    </row>
    <row r="12" spans="2:7" s="372" customFormat="1" x14ac:dyDescent="0.4">
      <c r="B12" s="627"/>
      <c r="C12" s="602"/>
      <c r="G12" s="599"/>
    </row>
    <row r="13" spans="2:7" s="372" customFormat="1" x14ac:dyDescent="0.4">
      <c r="B13" s="628"/>
      <c r="C13" s="1044" t="s">
        <v>512</v>
      </c>
      <c r="D13" s="1223" t="s">
        <v>668</v>
      </c>
      <c r="E13" s="1044" t="s">
        <v>1101</v>
      </c>
      <c r="F13" s="1222" t="s">
        <v>827</v>
      </c>
      <c r="G13" s="599"/>
    </row>
    <row r="14" spans="2:7" s="372" customFormat="1" ht="15" customHeight="1" x14ac:dyDescent="0.4">
      <c r="B14" s="626" t="s">
        <v>843</v>
      </c>
      <c r="C14" s="631">
        <v>1</v>
      </c>
      <c r="D14" s="1221">
        <v>4</v>
      </c>
      <c r="E14" s="631">
        <v>1</v>
      </c>
      <c r="F14" s="1220">
        <v>1</v>
      </c>
      <c r="G14" s="599"/>
    </row>
    <row r="15" spans="2:7" s="372" customFormat="1" ht="15" customHeight="1" x14ac:dyDescent="0.4">
      <c r="B15" s="224" t="s">
        <v>382</v>
      </c>
      <c r="C15" s="631">
        <f>C14*$C$6</f>
        <v>1</v>
      </c>
      <c r="D15" s="1221">
        <f>D14*C6</f>
        <v>4</v>
      </c>
      <c r="E15" s="631">
        <f>E14*C6</f>
        <v>1</v>
      </c>
      <c r="F15" s="1220">
        <f>F14*C6</f>
        <v>1</v>
      </c>
      <c r="G15" s="599"/>
    </row>
    <row r="16" spans="2:7" s="372" customFormat="1" ht="15" customHeight="1" x14ac:dyDescent="0.4">
      <c r="B16" s="224" t="s">
        <v>383</v>
      </c>
      <c r="C16" s="1218">
        <v>50000</v>
      </c>
      <c r="D16" s="1219">
        <v>43000</v>
      </c>
      <c r="E16" s="1218">
        <v>60000</v>
      </c>
      <c r="F16" s="1218">
        <v>32000</v>
      </c>
      <c r="G16" s="599"/>
    </row>
    <row r="17" spans="2:8" s="372" customFormat="1" ht="15" customHeight="1" x14ac:dyDescent="0.4">
      <c r="B17" s="224" t="s">
        <v>384</v>
      </c>
      <c r="C17" s="1217">
        <v>1</v>
      </c>
      <c r="D17" s="1216">
        <v>1</v>
      </c>
      <c r="E17" s="1215">
        <v>0.2</v>
      </c>
      <c r="F17" s="1215">
        <v>0.35</v>
      </c>
      <c r="G17" s="599"/>
    </row>
    <row r="18" spans="2:8" s="372" customFormat="1" ht="15" customHeight="1" x14ac:dyDescent="0.4">
      <c r="B18" s="224" t="s">
        <v>385</v>
      </c>
      <c r="C18" s="1215">
        <v>0.25</v>
      </c>
      <c r="D18" s="1215">
        <v>0.25</v>
      </c>
      <c r="E18" s="1215">
        <v>0.25</v>
      </c>
      <c r="F18" s="1215">
        <v>0.25</v>
      </c>
      <c r="G18" s="599"/>
    </row>
    <row r="19" spans="2:8" s="372" customFormat="1" ht="15" customHeight="1" x14ac:dyDescent="0.4">
      <c r="B19" s="224"/>
      <c r="C19" s="604"/>
      <c r="D19" s="605"/>
      <c r="E19" s="605"/>
      <c r="F19" s="605"/>
      <c r="G19" s="747"/>
    </row>
    <row r="20" spans="2:8" s="372" customFormat="1" ht="15" customHeight="1" x14ac:dyDescent="0.4">
      <c r="B20" s="224" t="s">
        <v>451</v>
      </c>
      <c r="C20" s="931">
        <v>0.57499999999999996</v>
      </c>
      <c r="D20" s="1214"/>
      <c r="E20" s="1214"/>
      <c r="F20" s="1214"/>
      <c r="G20" s="672"/>
    </row>
    <row r="21" spans="2:8" s="372" customFormat="1" ht="15" customHeight="1" x14ac:dyDescent="0.4">
      <c r="B21" s="224" t="s">
        <v>513</v>
      </c>
      <c r="C21" s="931">
        <v>800</v>
      </c>
      <c r="D21" s="1214"/>
      <c r="E21" s="1214"/>
      <c r="F21" s="1214"/>
      <c r="G21" s="672"/>
    </row>
    <row r="22" spans="2:8" s="372" customFormat="1" ht="15" customHeight="1" x14ac:dyDescent="0.4">
      <c r="B22" s="224" t="s">
        <v>421</v>
      </c>
      <c r="C22" s="932">
        <v>10000</v>
      </c>
      <c r="D22" s="1212"/>
      <c r="E22" s="1212"/>
      <c r="F22" s="1212"/>
      <c r="G22" s="672"/>
    </row>
    <row r="23" spans="2:8" s="372" customFormat="1" ht="15" customHeight="1" x14ac:dyDescent="0.4">
      <c r="B23" s="224" t="s">
        <v>422</v>
      </c>
      <c r="C23" s="932">
        <v>10000</v>
      </c>
      <c r="D23" s="1212"/>
      <c r="E23" s="1212"/>
      <c r="F23" s="1212"/>
      <c r="G23" s="672"/>
    </row>
    <row r="24" spans="2:8" s="372" customFormat="1" ht="15" customHeight="1" x14ac:dyDescent="0.4">
      <c r="B24" s="224" t="s">
        <v>423</v>
      </c>
      <c r="C24" s="932">
        <v>10000</v>
      </c>
      <c r="D24" s="1212"/>
      <c r="E24" s="1212"/>
      <c r="F24" s="1212"/>
      <c r="G24" s="672"/>
    </row>
    <row r="25" spans="2:8" s="372" customFormat="1" ht="15" customHeight="1" x14ac:dyDescent="0.4">
      <c r="B25" s="224"/>
      <c r="C25" s="1213"/>
      <c r="D25" s="1212"/>
      <c r="E25" s="1212"/>
      <c r="F25" s="1212"/>
      <c r="G25" s="672"/>
    </row>
    <row r="26" spans="2:8" s="372" customFormat="1" ht="17.399999999999999" customHeight="1" thickBot="1" x14ac:dyDescent="0.45">
      <c r="B26" s="713"/>
      <c r="C26" s="1211"/>
      <c r="D26" s="1210"/>
      <c r="E26" s="1210"/>
      <c r="F26" s="1210"/>
      <c r="G26" s="1209"/>
    </row>
    <row r="27" spans="2:8" ht="31.2" customHeight="1" x14ac:dyDescent="0.55000000000000004">
      <c r="C27" s="116" t="s">
        <v>459</v>
      </c>
      <c r="D27" s="115"/>
      <c r="E27" s="115"/>
      <c r="F27" s="115"/>
      <c r="G27" s="117"/>
    </row>
    <row r="28" spans="2:8" ht="13.2" customHeight="1" x14ac:dyDescent="0.4">
      <c r="C28" s="118"/>
      <c r="D28" s="1208" t="s">
        <v>392</v>
      </c>
      <c r="E28" s="1208" t="s">
        <v>393</v>
      </c>
      <c r="F28" s="1208" t="s">
        <v>394</v>
      </c>
      <c r="G28" s="1207" t="s">
        <v>334</v>
      </c>
    </row>
    <row r="29" spans="2:8" ht="19.95" customHeight="1" x14ac:dyDescent="0.4">
      <c r="C29" s="265" t="s">
        <v>632</v>
      </c>
      <c r="D29" s="494"/>
      <c r="E29" s="494"/>
      <c r="F29" s="494"/>
      <c r="G29" s="120"/>
      <c r="H29" s="79"/>
    </row>
    <row r="30" spans="2:8" ht="22.95" customHeight="1" x14ac:dyDescent="0.4">
      <c r="C30" s="664" t="s">
        <v>1100</v>
      </c>
      <c r="D30" s="1206"/>
      <c r="E30" s="1206"/>
      <c r="F30" s="1206"/>
      <c r="G30" s="1205"/>
      <c r="H30" s="675"/>
    </row>
    <row r="31" spans="2:8" ht="14.4" customHeight="1" x14ac:dyDescent="0.4">
      <c r="C31" s="1184" t="s">
        <v>1084</v>
      </c>
      <c r="D31" s="1188">
        <f>(966.67*C11)*(1-(0.05121*(C6-1)))</f>
        <v>6766.69</v>
      </c>
      <c r="E31" s="1186">
        <f>(1053.33*C11)*(1-(0.06176*(C6-1)))</f>
        <v>7373.3099999999995</v>
      </c>
      <c r="F31" s="1202"/>
      <c r="G31" s="1204"/>
      <c r="H31" s="675"/>
    </row>
    <row r="32" spans="2:8" ht="14.4" customHeight="1" x14ac:dyDescent="0.4">
      <c r="C32" s="1184" t="s">
        <v>1099</v>
      </c>
      <c r="D32" s="1188">
        <f>(200*C11)*(1-(0.11665*(C6-1)))</f>
        <v>1400</v>
      </c>
      <c r="E32" s="1188">
        <f>(200*C11)*(1-(0.11665*(C6-1)))</f>
        <v>1400</v>
      </c>
      <c r="F32" s="1202"/>
      <c r="G32" s="1204"/>
      <c r="H32" s="675"/>
    </row>
    <row r="33" spans="3:8" ht="14.4" customHeight="1" x14ac:dyDescent="0.4">
      <c r="C33" s="1184" t="s">
        <v>1098</v>
      </c>
      <c r="D33" s="1188">
        <f>(100*C11)*(1-(0.06665*(C6-1)))</f>
        <v>700</v>
      </c>
      <c r="E33" s="1188">
        <f>(100*C11)*(1-(0.06665*(C6-1)))</f>
        <v>700</v>
      </c>
      <c r="F33" s="1202"/>
      <c r="G33" s="1204"/>
      <c r="H33" s="675"/>
    </row>
    <row r="34" spans="3:8" ht="14.4" customHeight="1" x14ac:dyDescent="0.4">
      <c r="C34" s="1203" t="s">
        <v>1097</v>
      </c>
      <c r="D34" s="1188">
        <f>((D36+D37+D38+D39)/C11)*(D15/2)</f>
        <v>5790.4628571428575</v>
      </c>
      <c r="E34" s="1188">
        <f>((E41+E42+E43)/C11)*(D15/2)</f>
        <v>3890</v>
      </c>
      <c r="F34" s="1202"/>
      <c r="G34" s="1201"/>
      <c r="H34" s="675"/>
    </row>
    <row r="35" spans="3:8" ht="22.95" customHeight="1" x14ac:dyDescent="0.4">
      <c r="C35" s="1200" t="s">
        <v>1096</v>
      </c>
      <c r="D35" s="1199"/>
      <c r="E35" s="1199"/>
      <c r="F35" s="1199"/>
      <c r="G35" s="43"/>
      <c r="H35" s="675"/>
    </row>
    <row r="36" spans="3:8" x14ac:dyDescent="0.4">
      <c r="C36" s="1039" t="s">
        <v>1095</v>
      </c>
      <c r="D36" s="1198">
        <f>(1150*C11)*(1-(0.05217*(C6-1)))</f>
        <v>8050</v>
      </c>
      <c r="E36" s="1198"/>
      <c r="F36" s="1198"/>
      <c r="G36" s="26"/>
      <c r="H36" s="675"/>
    </row>
    <row r="37" spans="3:8" x14ac:dyDescent="0.4">
      <c r="C37" s="33" t="s">
        <v>1094</v>
      </c>
      <c r="D37" s="1197">
        <f>(733.33*C11)*(1-(0.05954*(C6-1)))</f>
        <v>5133.3100000000004</v>
      </c>
      <c r="E37" s="1197"/>
      <c r="F37" s="1197"/>
      <c r="G37" s="1196"/>
      <c r="H37" s="675"/>
    </row>
    <row r="38" spans="3:8" x14ac:dyDescent="0.4">
      <c r="C38" s="1195" t="s">
        <v>1093</v>
      </c>
      <c r="D38" s="1194">
        <f>(733.33*C11)*(1-(0.05954*(C6-1)))</f>
        <v>5133.3100000000004</v>
      </c>
      <c r="E38" s="1194"/>
      <c r="F38" s="1194"/>
      <c r="G38" s="1193"/>
      <c r="H38" s="675"/>
    </row>
    <row r="39" spans="3:8" customFormat="1" x14ac:dyDescent="0.4">
      <c r="C39" s="1192" t="s">
        <v>1092</v>
      </c>
      <c r="D39" s="1188">
        <f>(975*(C15+E15))*(1-(0.05128*(C6-1)))</f>
        <v>1950</v>
      </c>
      <c r="E39" s="1186"/>
      <c r="F39" s="1186"/>
      <c r="G39" s="417"/>
      <c r="H39" s="1191"/>
    </row>
    <row r="40" spans="3:8" ht="22.95" customHeight="1" x14ac:dyDescent="0.4">
      <c r="C40" s="1190" t="s">
        <v>1091</v>
      </c>
      <c r="D40" s="1188"/>
      <c r="E40" s="1186"/>
      <c r="F40" s="1186"/>
      <c r="G40" s="417"/>
      <c r="H40" s="675"/>
    </row>
    <row r="41" spans="3:8" ht="33.6" x14ac:dyDescent="0.4">
      <c r="C41" s="429" t="s">
        <v>1090</v>
      </c>
      <c r="D41" s="1188"/>
      <c r="E41" s="1186">
        <f>(485*C11)*(1-(0.09278*(C6-1)))</f>
        <v>3395</v>
      </c>
      <c r="F41" s="1186"/>
      <c r="G41" s="417"/>
      <c r="H41" s="675"/>
    </row>
    <row r="42" spans="3:8" x14ac:dyDescent="0.4">
      <c r="C42" s="429" t="s">
        <v>1089</v>
      </c>
      <c r="D42" s="1188"/>
      <c r="E42" s="1186">
        <f>(515*C11)*(1-0.08737*(C6-1))</f>
        <v>3605</v>
      </c>
      <c r="F42" s="1186"/>
      <c r="G42" s="417"/>
      <c r="H42" s="675"/>
    </row>
    <row r="43" spans="3:8" x14ac:dyDescent="0.4">
      <c r="C43" s="426" t="s">
        <v>1088</v>
      </c>
      <c r="D43" s="1188"/>
      <c r="E43" s="1186">
        <f>(945*C11)*(1-(0.11111*(C6-1)))</f>
        <v>6615</v>
      </c>
      <c r="F43" s="1186"/>
      <c r="G43" s="417"/>
      <c r="H43" s="675"/>
    </row>
    <row r="44" spans="3:8" x14ac:dyDescent="0.4">
      <c r="C44" s="1189"/>
      <c r="D44" s="1188"/>
      <c r="E44" s="1186"/>
      <c r="F44" s="1186"/>
      <c r="G44" s="417"/>
      <c r="H44" s="675"/>
    </row>
    <row r="45" spans="3:8" x14ac:dyDescent="0.4">
      <c r="C45" s="41" t="s">
        <v>1087</v>
      </c>
      <c r="D45" s="1188"/>
      <c r="E45" s="1186"/>
      <c r="F45" s="1186"/>
      <c r="G45" s="417"/>
      <c r="H45" s="675"/>
    </row>
    <row r="46" spans="3:8" x14ac:dyDescent="0.4">
      <c r="C46" s="854" t="s">
        <v>1086</v>
      </c>
      <c r="D46" s="1187">
        <f>(3194.44*C11)+(191.67*C11)</f>
        <v>23702.77</v>
      </c>
      <c r="E46" s="1186">
        <f>(2357.5*C11)+(249.17*C11)</f>
        <v>18246.689999999999</v>
      </c>
      <c r="F46" s="1186"/>
      <c r="G46" s="417"/>
      <c r="H46" s="675"/>
    </row>
    <row r="47" spans="3:8" x14ac:dyDescent="0.4">
      <c r="C47" s="426" t="s">
        <v>1085</v>
      </c>
      <c r="D47" s="1186"/>
      <c r="E47" s="1186">
        <f>(945*C11)</f>
        <v>6615</v>
      </c>
      <c r="F47" s="1186"/>
      <c r="G47" s="417"/>
      <c r="H47" s="675"/>
    </row>
    <row r="48" spans="3:8" x14ac:dyDescent="0.4">
      <c r="C48" s="1184" t="s">
        <v>1084</v>
      </c>
      <c r="D48" s="1186"/>
      <c r="E48" s="1186">
        <f>(315.83*C11)</f>
        <v>2210.81</v>
      </c>
      <c r="F48" s="1186"/>
      <c r="G48" s="417"/>
      <c r="H48" s="675"/>
    </row>
    <row r="49" spans="3:8" x14ac:dyDescent="0.4">
      <c r="C49" s="426"/>
      <c r="D49" s="1185"/>
      <c r="E49" s="1185"/>
      <c r="F49" s="1185"/>
      <c r="G49" s="270"/>
      <c r="H49" s="675"/>
    </row>
    <row r="50" spans="3:8" x14ac:dyDescent="0.4">
      <c r="C50" s="41" t="s">
        <v>592</v>
      </c>
      <c r="D50" s="1185"/>
      <c r="E50" s="1185"/>
      <c r="F50" s="1185"/>
      <c r="G50" s="270"/>
      <c r="H50" s="675"/>
    </row>
    <row r="51" spans="3:8" x14ac:dyDescent="0.4">
      <c r="C51" s="1184" t="s">
        <v>1083</v>
      </c>
      <c r="D51" s="1183">
        <f>(260*C11)+(275*C15)</f>
        <v>2095</v>
      </c>
      <c r="E51" s="1183">
        <f>(260*C11)+(275*C15)</f>
        <v>2095</v>
      </c>
      <c r="F51" s="1183">
        <f>(260*C11)+(275*C15)</f>
        <v>2095</v>
      </c>
      <c r="G51" s="417"/>
      <c r="H51" s="675"/>
    </row>
    <row r="52" spans="3:8" x14ac:dyDescent="0.4">
      <c r="C52" s="93"/>
      <c r="D52" s="1182"/>
      <c r="E52" s="1182"/>
      <c r="F52" s="1182"/>
      <c r="G52" s="45"/>
      <c r="H52" s="675"/>
    </row>
    <row r="53" spans="3:8" x14ac:dyDescent="0.4">
      <c r="C53" s="47" t="s">
        <v>409</v>
      </c>
      <c r="D53" s="1181">
        <f>SUM(D31:D52)</f>
        <v>60721.542857142864</v>
      </c>
      <c r="E53" s="1181">
        <f>SUM(E31:E52)</f>
        <v>56145.81</v>
      </c>
      <c r="F53" s="1181">
        <f>SUM(F30:F52)</f>
        <v>2095</v>
      </c>
      <c r="G53" s="48"/>
    </row>
    <row r="54" spans="3:8" x14ac:dyDescent="0.4">
      <c r="C54" s="121"/>
      <c r="D54" s="1180"/>
      <c r="E54" s="1180"/>
      <c r="F54" s="1180"/>
      <c r="G54" s="27"/>
    </row>
    <row r="55" spans="3:8" ht="19.95" customHeight="1" x14ac:dyDescent="0.4">
      <c r="C55" s="265" t="s">
        <v>650</v>
      </c>
      <c r="D55" s="494"/>
      <c r="E55" s="494"/>
      <c r="F55" s="494"/>
      <c r="G55" s="50"/>
    </row>
    <row r="56" spans="3:8" ht="22.95" customHeight="1" x14ac:dyDescent="0.4">
      <c r="C56" s="32" t="s">
        <v>412</v>
      </c>
      <c r="D56" s="1174"/>
      <c r="E56" s="1174"/>
      <c r="F56" s="1174"/>
      <c r="G56" s="26"/>
    </row>
    <row r="57" spans="3:8" x14ac:dyDescent="0.4">
      <c r="C57" s="33" t="s">
        <v>414</v>
      </c>
      <c r="D57" s="1179">
        <f>C15*C16*C17</f>
        <v>50000</v>
      </c>
      <c r="E57" s="1179">
        <f>(C15*C16*C17)*1.03</f>
        <v>51500</v>
      </c>
      <c r="F57" s="1179">
        <f>(E57)*1.03</f>
        <v>53045</v>
      </c>
      <c r="G57" s="26" t="s">
        <v>826</v>
      </c>
    </row>
    <row r="58" spans="3:8" x14ac:dyDescent="0.4">
      <c r="C58" s="33" t="s">
        <v>413</v>
      </c>
      <c r="D58" s="1179">
        <f>D16*D17*D15</f>
        <v>172000</v>
      </c>
      <c r="E58" s="1179">
        <f>(D15*D16*D17)*1.03</f>
        <v>177160</v>
      </c>
      <c r="F58" s="1179">
        <f>(E58)*1.03</f>
        <v>182474.80000000002</v>
      </c>
      <c r="G58" s="26" t="s">
        <v>826</v>
      </c>
    </row>
    <row r="59" spans="3:8" x14ac:dyDescent="0.4">
      <c r="C59" s="33" t="s">
        <v>652</v>
      </c>
      <c r="D59" s="1179">
        <f>E15*E16*E17</f>
        <v>12000</v>
      </c>
      <c r="E59" s="1179">
        <f>(E15*E16*E17)*1.03</f>
        <v>12360</v>
      </c>
      <c r="F59" s="1179">
        <f>(E59)*1.03</f>
        <v>12730.800000000001</v>
      </c>
      <c r="G59" s="26" t="s">
        <v>826</v>
      </c>
    </row>
    <row r="60" spans="3:8" x14ac:dyDescent="0.4">
      <c r="C60" s="33" t="s">
        <v>1082</v>
      </c>
      <c r="D60" s="1179">
        <f>F15*F16*F17</f>
        <v>11200</v>
      </c>
      <c r="E60" s="1179">
        <f>(F15*F16*F17)*1.03</f>
        <v>11536</v>
      </c>
      <c r="F60" s="1179">
        <f>(E60)*1.03</f>
        <v>11882.08</v>
      </c>
      <c r="G60" s="26" t="s">
        <v>826</v>
      </c>
    </row>
    <row r="61" spans="3:8" x14ac:dyDescent="0.4">
      <c r="C61" s="33" t="s">
        <v>415</v>
      </c>
      <c r="D61" s="1179">
        <f>(D57*C18)+(D58*D18)+(E18*D59)+(D60*F18)</f>
        <v>61300</v>
      </c>
      <c r="E61" s="1179">
        <f>(E57*C18)+(E58*D18)+(E59*E18)+(E60*F18)</f>
        <v>63139</v>
      </c>
      <c r="F61" s="1179">
        <f>(F57*C18)+(F58*D18)+(F59*E18)+(F60*F18)</f>
        <v>65033.17</v>
      </c>
      <c r="G61" s="29"/>
    </row>
    <row r="62" spans="3:8" ht="22.95" customHeight="1" x14ac:dyDescent="0.4">
      <c r="C62" s="32" t="s">
        <v>416</v>
      </c>
      <c r="D62" s="1174"/>
      <c r="E62" s="1174"/>
      <c r="F62" s="1174"/>
      <c r="G62" s="28"/>
    </row>
    <row r="63" spans="3:8" x14ac:dyDescent="0.4">
      <c r="C63" s="52" t="s">
        <v>536</v>
      </c>
      <c r="D63" s="1178">
        <f>C8*(C21*C20)</f>
        <v>32199.999999999996</v>
      </c>
      <c r="E63" s="1178">
        <f>C8*(C21*C20)</f>
        <v>32199.999999999996</v>
      </c>
      <c r="F63" s="1178">
        <f>C8*(C21*C20)</f>
        <v>32199.999999999996</v>
      </c>
      <c r="G63" s="29"/>
    </row>
    <row r="64" spans="3:8" x14ac:dyDescent="0.4">
      <c r="C64" s="52" t="s">
        <v>421</v>
      </c>
      <c r="D64" s="1177">
        <f>C22*C5</f>
        <v>10000</v>
      </c>
      <c r="E64" s="1177">
        <f>C22*C5</f>
        <v>10000</v>
      </c>
      <c r="F64" s="1177">
        <f>C22*C5</f>
        <v>10000</v>
      </c>
      <c r="G64" s="29"/>
    </row>
    <row r="65" spans="3:7" x14ac:dyDescent="0.4">
      <c r="C65" s="33" t="s">
        <v>422</v>
      </c>
      <c r="D65" s="1177">
        <f>C23*C5</f>
        <v>10000</v>
      </c>
      <c r="E65" s="1177">
        <f>C23*C5</f>
        <v>10000</v>
      </c>
      <c r="F65" s="1177">
        <f>C23*C5</f>
        <v>10000</v>
      </c>
      <c r="G65" s="29"/>
    </row>
    <row r="66" spans="3:7" x14ac:dyDescent="0.4">
      <c r="C66" s="854" t="s">
        <v>423</v>
      </c>
      <c r="D66" s="23">
        <f>C24*C5</f>
        <v>10000</v>
      </c>
      <c r="E66" s="1176">
        <f>C24*C5</f>
        <v>10000</v>
      </c>
      <c r="F66" s="1176">
        <f>C24*C5</f>
        <v>10000</v>
      </c>
      <c r="G66" s="242"/>
    </row>
    <row r="67" spans="3:7" x14ac:dyDescent="0.4">
      <c r="C67" s="854" t="s">
        <v>1081</v>
      </c>
      <c r="D67" s="1175">
        <f>200*C8</f>
        <v>14000</v>
      </c>
      <c r="E67" s="1175">
        <f>200*C10</f>
        <v>15750</v>
      </c>
      <c r="F67" s="1175">
        <f>200*C10</f>
        <v>15750</v>
      </c>
      <c r="G67" s="352"/>
    </row>
    <row r="68" spans="3:7" x14ac:dyDescent="0.4">
      <c r="C68" s="118"/>
      <c r="D68" s="9"/>
      <c r="E68" s="9"/>
      <c r="F68" s="9"/>
      <c r="G68" s="28"/>
    </row>
    <row r="69" spans="3:7" x14ac:dyDescent="0.4">
      <c r="C69" s="54" t="s">
        <v>409</v>
      </c>
      <c r="D69" s="1172">
        <f>SUM(D57:D68)</f>
        <v>382700</v>
      </c>
      <c r="E69" s="1172">
        <f>SUM(E57:E68)</f>
        <v>393645</v>
      </c>
      <c r="F69" s="1172">
        <f>SUM(F57:F68)</f>
        <v>403115.85</v>
      </c>
      <c r="G69" s="55"/>
    </row>
    <row r="70" spans="3:7" x14ac:dyDescent="0.4">
      <c r="C70" s="56"/>
      <c r="D70" s="1174"/>
      <c r="E70" s="1174"/>
      <c r="F70" s="1174"/>
      <c r="G70" s="55"/>
    </row>
    <row r="71" spans="3:7" x14ac:dyDescent="0.4">
      <c r="C71" s="58" t="s">
        <v>424</v>
      </c>
      <c r="D71" s="1173">
        <f>D53+D69</f>
        <v>443421.54285714286</v>
      </c>
      <c r="E71" s="1172">
        <f>E69+E53</f>
        <v>449790.81</v>
      </c>
      <c r="F71" s="1172">
        <f>F69+F53</f>
        <v>405210.85</v>
      </c>
      <c r="G71" s="55"/>
    </row>
    <row r="72" spans="3:7" x14ac:dyDescent="0.4">
      <c r="C72" s="59"/>
      <c r="D72" s="363"/>
      <c r="E72" s="363"/>
      <c r="F72" s="363"/>
      <c r="G72" s="57"/>
    </row>
    <row r="73" spans="3:7" ht="19.95" customHeight="1" x14ac:dyDescent="0.4">
      <c r="C73" s="265" t="s">
        <v>425</v>
      </c>
      <c r="D73" s="494"/>
      <c r="E73" s="494"/>
      <c r="F73" s="494"/>
      <c r="G73" s="50"/>
    </row>
    <row r="74" spans="3:7" x14ac:dyDescent="0.4">
      <c r="C74" s="32" t="s">
        <v>426</v>
      </c>
      <c r="D74" s="356"/>
      <c r="E74" s="356"/>
      <c r="F74" s="356"/>
      <c r="G74" s="27"/>
    </row>
    <row r="75" spans="3:7" ht="30" customHeight="1" x14ac:dyDescent="0.4">
      <c r="C75" s="1171" t="s">
        <v>1080</v>
      </c>
      <c r="D75" s="1170">
        <f>(D71*0.15)-D66</f>
        <v>56513.231428571424</v>
      </c>
      <c r="E75" s="1169">
        <f>(E71*0.15)-E66</f>
        <v>57468.621499999994</v>
      </c>
      <c r="F75" s="1169">
        <f>(F71*0.15)-F66</f>
        <v>50781.627499999995</v>
      </c>
      <c r="G75" s="1168" t="s">
        <v>859</v>
      </c>
    </row>
    <row r="76" spans="3:7" x14ac:dyDescent="0.4">
      <c r="C76" s="93"/>
      <c r="D76" s="79"/>
      <c r="E76" s="79"/>
      <c r="F76" s="79"/>
      <c r="G76" s="1167"/>
    </row>
    <row r="77" spans="3:7" x14ac:dyDescent="0.4">
      <c r="C77" s="58" t="s">
        <v>429</v>
      </c>
      <c r="D77" s="1166">
        <f>SUM(D75:D76)</f>
        <v>56513.231428571424</v>
      </c>
      <c r="E77" s="1165">
        <f>SUM(E75:E76)</f>
        <v>57468.621499999994</v>
      </c>
      <c r="F77" s="1165">
        <f>SUM(F75:F76)</f>
        <v>50781.627499999995</v>
      </c>
      <c r="G77" s="55"/>
    </row>
    <row r="78" spans="3:7" x14ac:dyDescent="0.4">
      <c r="C78" s="59"/>
      <c r="D78" s="363"/>
      <c r="E78" s="363"/>
      <c r="F78" s="363"/>
      <c r="G78" s="1164"/>
    </row>
    <row r="79" spans="3:7" ht="17.399999999999999" thickBot="1" x14ac:dyDescent="0.45">
      <c r="C79" s="59"/>
      <c r="D79" s="363"/>
      <c r="E79" s="363"/>
      <c r="F79" s="363"/>
      <c r="G79" s="57"/>
    </row>
    <row r="80" spans="3:7" ht="32.4" customHeight="1" thickTop="1" x14ac:dyDescent="0.4">
      <c r="C80" s="35" t="s">
        <v>430</v>
      </c>
      <c r="D80" s="1163">
        <f>D71+D77</f>
        <v>499934.77428571426</v>
      </c>
      <c r="E80" s="1162">
        <f>E71+E77</f>
        <v>507259.43150000001</v>
      </c>
      <c r="F80" s="1162">
        <f>F77+F71</f>
        <v>455992.47749999998</v>
      </c>
      <c r="G80" s="147"/>
    </row>
    <row r="81" spans="1:7" ht="34.5" customHeight="1" thickBot="1" x14ac:dyDescent="0.45">
      <c r="C81" s="36" t="s">
        <v>477</v>
      </c>
      <c r="D81" s="1161">
        <f>D80/C8</f>
        <v>7141.925346938775</v>
      </c>
      <c r="E81" s="1160">
        <f>E80/C10</f>
        <v>6441.3896063492066</v>
      </c>
      <c r="F81" s="1160">
        <f>F80/C10</f>
        <v>5790.380666666666</v>
      </c>
      <c r="G81" s="148"/>
    </row>
    <row r="82" spans="1:7" ht="44.25" customHeight="1" thickTop="1" x14ac:dyDescent="0.4">
      <c r="C82" s="1424" t="s">
        <v>1079</v>
      </c>
      <c r="D82" s="1425"/>
      <c r="E82" s="1425"/>
      <c r="F82" s="1425"/>
      <c r="G82" s="1426"/>
    </row>
    <row r="83" spans="1:7" x14ac:dyDescent="0.4">
      <c r="C83" s="1358" t="s">
        <v>439</v>
      </c>
      <c r="D83" s="1359"/>
      <c r="E83" s="1359"/>
      <c r="F83" s="1359"/>
      <c r="G83" s="1427"/>
    </row>
    <row r="84" spans="1:7" x14ac:dyDescent="0.4">
      <c r="C84" s="1428" t="s">
        <v>440</v>
      </c>
      <c r="D84" s="1429"/>
      <c r="E84" s="1429"/>
      <c r="F84" s="1429"/>
      <c r="G84" s="1430"/>
    </row>
    <row r="85" spans="1:7" ht="27.6" customHeight="1" x14ac:dyDescent="0.4">
      <c r="C85" s="1431"/>
      <c r="D85" s="1432"/>
      <c r="E85" s="1432"/>
      <c r="F85" s="1432"/>
      <c r="G85" s="1433"/>
    </row>
    <row r="86" spans="1:7" ht="24.6" customHeight="1" x14ac:dyDescent="0.4">
      <c r="B86"/>
      <c r="C86" s="1434"/>
      <c r="D86" s="1435"/>
      <c r="E86" s="1435"/>
      <c r="F86" s="1435"/>
      <c r="G86" s="1436"/>
    </row>
    <row r="87" spans="1:7" x14ac:dyDescent="0.4">
      <c r="C87" s="1437" t="s">
        <v>1078</v>
      </c>
      <c r="D87" s="1438"/>
      <c r="E87" s="1438"/>
      <c r="F87" s="1438"/>
      <c r="G87" s="1439"/>
    </row>
    <row r="88" spans="1:7" x14ac:dyDescent="0.4">
      <c r="C88" s="1418" t="s">
        <v>1077</v>
      </c>
      <c r="D88" s="1311"/>
      <c r="E88" s="1311"/>
      <c r="F88" s="1311"/>
      <c r="G88" s="1419"/>
    </row>
    <row r="89" spans="1:7" x14ac:dyDescent="0.4">
      <c r="C89" s="1418" t="s">
        <v>1076</v>
      </c>
      <c r="D89" s="1311"/>
      <c r="E89" s="1311"/>
      <c r="F89" s="1311"/>
      <c r="G89" s="1419"/>
    </row>
    <row r="90" spans="1:7" ht="18.75" customHeight="1" x14ac:dyDescent="0.4">
      <c r="C90" s="1158" t="s">
        <v>1075</v>
      </c>
      <c r="D90" s="1157"/>
      <c r="E90" s="1157"/>
      <c r="F90" s="1157"/>
      <c r="G90" s="1159"/>
    </row>
    <row r="91" spans="1:7" s="279" customFormat="1" ht="20.399999999999999" x14ac:dyDescent="0.45">
      <c r="A91" s="454"/>
      <c r="B91" s="455"/>
      <c r="C91" s="1346" t="s">
        <v>1074</v>
      </c>
      <c r="D91" s="1347"/>
      <c r="E91" s="1347"/>
      <c r="F91" s="1347"/>
      <c r="G91" s="1420"/>
    </row>
  </sheetData>
  <mergeCells count="9">
    <mergeCell ref="C88:G88"/>
    <mergeCell ref="C89:G89"/>
    <mergeCell ref="C91:G91"/>
    <mergeCell ref="C1:G1"/>
    <mergeCell ref="C3:G3"/>
    <mergeCell ref="C82:G82"/>
    <mergeCell ref="C83:G83"/>
    <mergeCell ref="C84:G86"/>
    <mergeCell ref="C87:G87"/>
  </mergeCells>
  <hyperlinks>
    <hyperlink ref="C91:G91" r:id="rId1" display="Click here for more on WSIPP's Homebuilders Benefit-Cost Analysis" xr:uid="{21B77078-7503-4759-AC58-D337A41AA27C}"/>
  </hyperlinks>
  <pageMargins left="0.25" right="0.25" top="0.75" bottom="0.75" header="0.3" footer="0.3"/>
  <pageSetup scale="69" orientation="portrait" r:id="rId2"/>
  <rowBreaks count="1" manualBreakCount="1">
    <brk id="72" max="5" man="1"/>
  </rowBreaks>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93FEE-4C6E-422E-B59B-38937B92B7C9}">
  <dimension ref="B1:L131"/>
  <sheetViews>
    <sheetView zoomScaleNormal="100" workbookViewId="0">
      <selection activeCell="H14" sqref="H14:H24"/>
    </sheetView>
  </sheetViews>
  <sheetFormatPr defaultColWidth="9" defaultRowHeight="14.4" customHeight="1" x14ac:dyDescent="0.4"/>
  <cols>
    <col min="1" max="1" width="2.3984375" style="18" customWidth="1"/>
    <col min="2" max="2" width="39.5" style="18" customWidth="1"/>
    <col min="3" max="3" width="47.19921875" style="18" customWidth="1"/>
    <col min="4" max="6" width="23.59765625" style="18" customWidth="1"/>
    <col min="7" max="7" width="29.59765625" style="18" customWidth="1"/>
    <col min="8" max="8" width="9.09765625" style="18" customWidth="1"/>
    <col min="9" max="9" width="7.296875" style="18" customWidth="1"/>
    <col min="10" max="11" width="9" style="18"/>
    <col min="12" max="17" width="9" style="18" customWidth="1"/>
    <col min="18" max="16384" width="9" style="18"/>
  </cols>
  <sheetData>
    <row r="1" spans="2:12" ht="78.75" customHeight="1" x14ac:dyDescent="0.4">
      <c r="B1" s="911" t="s">
        <v>368</v>
      </c>
      <c r="C1" s="1301" t="s">
        <v>662</v>
      </c>
      <c r="D1" s="1301"/>
      <c r="E1" s="1301"/>
      <c r="F1" s="1301"/>
      <c r="G1" s="1301"/>
      <c r="I1" s="276"/>
      <c r="J1" s="276"/>
      <c r="K1" s="276"/>
      <c r="L1" s="276"/>
    </row>
    <row r="2" spans="2:12" ht="13.95" customHeight="1" x14ac:dyDescent="0.4">
      <c r="B2" s="1"/>
      <c r="C2" s="331"/>
      <c r="D2" s="198"/>
      <c r="E2" s="198"/>
      <c r="F2" s="198"/>
      <c r="G2" s="199"/>
      <c r="I2" s="276"/>
      <c r="J2" s="276"/>
      <c r="K2" s="276"/>
      <c r="L2" s="276"/>
    </row>
    <row r="3" spans="2:12" ht="52.95" customHeight="1" x14ac:dyDescent="0.4">
      <c r="C3" s="1314" t="s">
        <v>370</v>
      </c>
      <c r="D3" s="1315"/>
      <c r="E3" s="1315"/>
      <c r="F3" s="1315"/>
      <c r="G3" s="277"/>
      <c r="I3" s="276"/>
      <c r="J3" s="276"/>
      <c r="K3" s="276"/>
      <c r="L3" s="276"/>
    </row>
    <row r="4" spans="2:12" ht="16.8" x14ac:dyDescent="0.4">
      <c r="C4" s="118"/>
      <c r="F4" s="1462"/>
      <c r="G4" s="1473"/>
      <c r="I4" s="276"/>
      <c r="J4" s="276"/>
      <c r="K4" s="276"/>
      <c r="L4" s="276"/>
    </row>
    <row r="5" spans="2:12" s="372" customFormat="1" ht="15" customHeight="1" x14ac:dyDescent="0.4">
      <c r="B5" s="224" t="s">
        <v>371</v>
      </c>
      <c r="C5" s="991">
        <v>1</v>
      </c>
      <c r="D5" s="1305"/>
      <c r="G5" s="307"/>
      <c r="I5" s="276"/>
      <c r="J5" s="276"/>
      <c r="K5" s="276"/>
      <c r="L5" s="276"/>
    </row>
    <row r="6" spans="2:12" s="372" customFormat="1" ht="15" customHeight="1" x14ac:dyDescent="0.4">
      <c r="B6" s="224" t="s">
        <v>663</v>
      </c>
      <c r="C6" s="991">
        <v>1</v>
      </c>
      <c r="D6" s="1305"/>
      <c r="F6" s="650"/>
      <c r="G6" s="651"/>
      <c r="I6" s="276"/>
      <c r="J6" s="276"/>
      <c r="K6" s="276"/>
      <c r="L6" s="276"/>
    </row>
    <row r="7" spans="2:12" s="372" customFormat="1" ht="15" customHeight="1" x14ac:dyDescent="0.4">
      <c r="B7" s="224" t="s">
        <v>664</v>
      </c>
      <c r="C7" s="652">
        <v>44</v>
      </c>
      <c r="D7" s="653"/>
      <c r="F7" s="1460"/>
      <c r="G7" s="1461"/>
      <c r="I7" s="276"/>
      <c r="J7" s="276"/>
      <c r="K7" s="276"/>
      <c r="L7" s="276"/>
    </row>
    <row r="8" spans="2:12" s="372" customFormat="1" ht="15" customHeight="1" x14ac:dyDescent="0.4">
      <c r="B8" s="224" t="s">
        <v>665</v>
      </c>
      <c r="C8" s="600">
        <v>13</v>
      </c>
      <c r="F8" s="650"/>
      <c r="G8" s="651"/>
    </row>
    <row r="9" spans="2:12" s="372" customFormat="1" ht="15" customHeight="1" x14ac:dyDescent="0.4">
      <c r="B9" s="224" t="s">
        <v>666</v>
      </c>
      <c r="C9" s="295">
        <f>(C7*D15) +5</f>
        <v>225</v>
      </c>
      <c r="G9" s="307"/>
    </row>
    <row r="10" spans="2:12" s="372" customFormat="1" ht="15" customHeight="1" x14ac:dyDescent="0.4">
      <c r="B10" s="224" t="s">
        <v>621</v>
      </c>
      <c r="C10" s="819">
        <f>C15+D15+F15</f>
        <v>6</v>
      </c>
      <c r="F10" s="650"/>
      <c r="G10" s="651"/>
    </row>
    <row r="11" spans="2:12" s="372" customFormat="1" ht="15" customHeight="1" x14ac:dyDescent="0.4">
      <c r="C11" s="718"/>
      <c r="F11" s="654"/>
      <c r="G11" s="655"/>
    </row>
    <row r="12" spans="2:12" s="372" customFormat="1" ht="15" customHeight="1" x14ac:dyDescent="0.4">
      <c r="B12" s="627"/>
      <c r="C12" s="602"/>
      <c r="F12" s="654"/>
      <c r="G12" s="655"/>
    </row>
    <row r="13" spans="2:12" s="372" customFormat="1" ht="15" customHeight="1" x14ac:dyDescent="0.4">
      <c r="B13" s="628"/>
      <c r="C13" s="873" t="s">
        <v>667</v>
      </c>
      <c r="D13" s="1462" t="s">
        <v>668</v>
      </c>
      <c r="E13" s="1462"/>
      <c r="F13" s="1474"/>
      <c r="G13" s="1475"/>
    </row>
    <row r="14" spans="2:12" s="372" customFormat="1" ht="15" customHeight="1" x14ac:dyDescent="0.4">
      <c r="B14" s="626" t="s">
        <v>584</v>
      </c>
      <c r="C14" s="1147">
        <v>1</v>
      </c>
      <c r="D14" s="1471">
        <v>5</v>
      </c>
      <c r="E14" s="1471"/>
      <c r="F14" s="1472"/>
      <c r="G14" s="1472"/>
      <c r="H14" s="1459"/>
      <c r="I14" s="656"/>
    </row>
    <row r="15" spans="2:12" s="372" customFormat="1" ht="15" customHeight="1" x14ac:dyDescent="0.4">
      <c r="B15" s="224" t="s">
        <v>382</v>
      </c>
      <c r="C15" s="660">
        <f>C14*$C$6</f>
        <v>1</v>
      </c>
      <c r="D15" s="1464">
        <f>D14*C6</f>
        <v>5</v>
      </c>
      <c r="E15" s="1464"/>
      <c r="F15" s="1465"/>
      <c r="G15" s="1465"/>
      <c r="H15" s="1459"/>
      <c r="I15" s="656"/>
    </row>
    <row r="16" spans="2:12" s="372" customFormat="1" ht="15" customHeight="1" x14ac:dyDescent="0.4">
      <c r="B16" s="224" t="s">
        <v>383</v>
      </c>
      <c r="C16" s="989">
        <v>50000</v>
      </c>
      <c r="D16" s="1466">
        <v>43000</v>
      </c>
      <c r="E16" s="1466"/>
      <c r="F16" s="1467"/>
      <c r="G16" s="1467"/>
      <c r="H16" s="1459"/>
      <c r="I16" s="657"/>
    </row>
    <row r="17" spans="2:9" s="372" customFormat="1" ht="15" customHeight="1" x14ac:dyDescent="0.4">
      <c r="B17" s="224" t="s">
        <v>384</v>
      </c>
      <c r="C17" s="990">
        <v>1</v>
      </c>
      <c r="D17" s="1468">
        <v>1</v>
      </c>
      <c r="E17" s="1468"/>
      <c r="F17" s="1469"/>
      <c r="G17" s="1469"/>
      <c r="H17" s="1459"/>
      <c r="I17" s="656"/>
    </row>
    <row r="18" spans="2:9" s="372" customFormat="1" ht="15" customHeight="1" x14ac:dyDescent="0.4">
      <c r="B18" s="224" t="s">
        <v>385</v>
      </c>
      <c r="C18" s="930">
        <v>0.25</v>
      </c>
      <c r="D18" s="1336">
        <v>0.25</v>
      </c>
      <c r="E18" s="1470"/>
      <c r="F18" s="1463"/>
      <c r="G18" s="1463"/>
      <c r="H18" s="1459"/>
      <c r="I18" s="656"/>
    </row>
    <row r="19" spans="2:9" s="656" customFormat="1" ht="15" customHeight="1" x14ac:dyDescent="0.4">
      <c r="B19" s="635"/>
      <c r="C19" s="918"/>
      <c r="D19" s="637"/>
      <c r="E19" s="637"/>
      <c r="F19" s="1146"/>
      <c r="G19" s="658"/>
      <c r="H19" s="1459"/>
    </row>
    <row r="20" spans="2:9" s="372" customFormat="1" ht="15" customHeight="1" x14ac:dyDescent="0.4">
      <c r="B20" s="224" t="s">
        <v>451</v>
      </c>
      <c r="C20" s="992">
        <v>0.57499999999999996</v>
      </c>
      <c r="D20" s="637"/>
      <c r="E20" s="637"/>
      <c r="F20" s="1146"/>
      <c r="G20" s="658"/>
      <c r="H20" s="1459"/>
      <c r="I20" s="656"/>
    </row>
    <row r="21" spans="2:9" s="372" customFormat="1" ht="15" customHeight="1" x14ac:dyDescent="0.4">
      <c r="B21" s="224" t="s">
        <v>513</v>
      </c>
      <c r="C21" s="993">
        <v>400</v>
      </c>
      <c r="D21" s="637"/>
      <c r="E21" s="637"/>
      <c r="F21" s="1146"/>
      <c r="G21" s="658"/>
      <c r="H21" s="1459"/>
      <c r="I21" s="656"/>
    </row>
    <row r="22" spans="2:9" s="372" customFormat="1" ht="15" customHeight="1" x14ac:dyDescent="0.4">
      <c r="B22" s="224" t="s">
        <v>590</v>
      </c>
      <c r="C22" s="994">
        <v>7000</v>
      </c>
      <c r="D22" s="637"/>
      <c r="E22" s="637"/>
      <c r="F22" s="1146"/>
      <c r="G22" s="658"/>
      <c r="H22" s="1459"/>
      <c r="I22" s="656"/>
    </row>
    <row r="23" spans="2:9" s="372" customFormat="1" ht="15" customHeight="1" x14ac:dyDescent="0.4">
      <c r="B23" s="224" t="s">
        <v>457</v>
      </c>
      <c r="C23" s="994">
        <v>7000</v>
      </c>
      <c r="D23" s="637"/>
      <c r="E23" s="637"/>
      <c r="F23" s="1146"/>
      <c r="G23" s="658"/>
      <c r="H23" s="1459"/>
      <c r="I23" s="656"/>
    </row>
    <row r="24" spans="2:9" s="372" customFormat="1" ht="15" customHeight="1" x14ac:dyDescent="0.4">
      <c r="B24" s="224" t="s">
        <v>458</v>
      </c>
      <c r="C24" s="994">
        <v>7000</v>
      </c>
      <c r="D24" s="637"/>
      <c r="E24" s="637"/>
      <c r="F24" s="637"/>
      <c r="G24" s="659"/>
      <c r="H24" s="1459"/>
      <c r="I24" s="656"/>
    </row>
    <row r="25" spans="2:9" ht="16.8" x14ac:dyDescent="0.4">
      <c r="B25" s="7"/>
      <c r="C25" s="150"/>
      <c r="D25" s="151"/>
      <c r="E25" s="151"/>
      <c r="F25" s="151"/>
      <c r="G25" s="308"/>
    </row>
    <row r="26" spans="2:9" ht="14.4" customHeight="1" x14ac:dyDescent="0.4">
      <c r="B26" s="1"/>
      <c r="C26" s="31"/>
      <c r="D26" s="4"/>
      <c r="E26" s="4"/>
      <c r="F26" s="4"/>
      <c r="G26" s="25"/>
    </row>
    <row r="27" spans="2:9" ht="31.2" customHeight="1" x14ac:dyDescent="0.55000000000000004">
      <c r="C27" s="39" t="s">
        <v>459</v>
      </c>
      <c r="D27" s="5"/>
      <c r="E27" s="5"/>
      <c r="F27" s="5"/>
      <c r="G27" s="40"/>
    </row>
    <row r="28" spans="2:9" ht="32.25" customHeight="1" x14ac:dyDescent="0.4">
      <c r="C28" s="118"/>
      <c r="D28" s="301" t="s">
        <v>669</v>
      </c>
      <c r="E28" s="301" t="s">
        <v>670</v>
      </c>
      <c r="F28" s="301" t="s">
        <v>671</v>
      </c>
      <c r="G28" s="290" t="s">
        <v>334</v>
      </c>
    </row>
    <row r="29" spans="2:9" ht="19.95" customHeight="1" x14ac:dyDescent="0.4">
      <c r="C29" s="702" t="s">
        <v>632</v>
      </c>
      <c r="D29" s="423"/>
      <c r="E29" s="423"/>
      <c r="F29" s="423"/>
      <c r="G29" s="419"/>
    </row>
    <row r="30" spans="2:9" ht="25.2" customHeight="1" x14ac:dyDescent="0.4">
      <c r="C30" s="507" t="s">
        <v>672</v>
      </c>
      <c r="D30" s="78"/>
      <c r="E30" s="42"/>
      <c r="F30" s="42"/>
      <c r="G30" s="45"/>
    </row>
    <row r="31" spans="2:9" ht="15.75" customHeight="1" x14ac:dyDescent="0.65">
      <c r="C31" s="33" t="s">
        <v>673</v>
      </c>
      <c r="D31" s="10">
        <f>SUM(39000*C5)</f>
        <v>39000</v>
      </c>
      <c r="E31" s="10">
        <v>0</v>
      </c>
      <c r="F31" s="10">
        <v>0</v>
      </c>
      <c r="G31" s="504"/>
      <c r="H31" s="153"/>
    </row>
    <row r="32" spans="2:9" ht="18" customHeight="1" x14ac:dyDescent="0.65">
      <c r="C32" s="244" t="s">
        <v>674</v>
      </c>
      <c r="D32" s="10">
        <f>SUM(D34:D60)*C5</f>
        <v>8773</v>
      </c>
      <c r="E32" s="10">
        <v>0</v>
      </c>
      <c r="F32" s="10">
        <v>0</v>
      </c>
      <c r="G32" s="45"/>
      <c r="H32" s="153"/>
    </row>
    <row r="33" spans="3:8" ht="18" hidden="1" customHeight="1" x14ac:dyDescent="0.65">
      <c r="C33" s="245" t="s">
        <v>675</v>
      </c>
      <c r="D33" s="10"/>
      <c r="E33" s="10"/>
      <c r="F33" s="10"/>
      <c r="G33" s="26"/>
      <c r="H33" s="153"/>
    </row>
    <row r="34" spans="3:8" ht="18" hidden="1" customHeight="1" x14ac:dyDescent="0.4">
      <c r="C34" s="33" t="s">
        <v>676</v>
      </c>
      <c r="D34" s="10">
        <v>600</v>
      </c>
      <c r="E34" s="10">
        <v>0</v>
      </c>
      <c r="F34" s="10">
        <v>0</v>
      </c>
      <c r="G34" s="26"/>
    </row>
    <row r="35" spans="3:8" ht="18" hidden="1" customHeight="1" x14ac:dyDescent="0.4">
      <c r="C35" s="33" t="s">
        <v>677</v>
      </c>
      <c r="D35" s="10">
        <v>110</v>
      </c>
      <c r="E35" s="10">
        <v>0</v>
      </c>
      <c r="F35" s="10">
        <v>0</v>
      </c>
      <c r="G35" s="26"/>
    </row>
    <row r="36" spans="3:8" ht="18" hidden="1" customHeight="1" x14ac:dyDescent="0.4">
      <c r="C36" s="33" t="s">
        <v>678</v>
      </c>
      <c r="D36" s="10">
        <v>75</v>
      </c>
      <c r="E36" s="10">
        <v>0</v>
      </c>
      <c r="F36" s="10">
        <v>0</v>
      </c>
      <c r="G36" s="26"/>
    </row>
    <row r="37" spans="3:8" ht="18" hidden="1" customHeight="1" x14ac:dyDescent="0.4">
      <c r="C37" s="33" t="s">
        <v>679</v>
      </c>
      <c r="D37" s="78">
        <v>42</v>
      </c>
      <c r="E37" s="10">
        <f>750*F14</f>
        <v>0</v>
      </c>
      <c r="F37" s="10">
        <v>0</v>
      </c>
      <c r="G37" s="26"/>
    </row>
    <row r="38" spans="3:8" ht="18" hidden="1" customHeight="1" x14ac:dyDescent="0.4">
      <c r="C38" s="33" t="s">
        <v>680</v>
      </c>
      <c r="D38" s="78">
        <v>40</v>
      </c>
      <c r="E38" s="10" t="s">
        <v>681</v>
      </c>
      <c r="F38" s="10" t="s">
        <v>681</v>
      </c>
      <c r="G38" s="26"/>
    </row>
    <row r="39" spans="3:8" ht="18" hidden="1" customHeight="1" x14ac:dyDescent="0.4">
      <c r="C39" s="245" t="s">
        <v>682</v>
      </c>
      <c r="D39" s="78"/>
      <c r="E39" s="10"/>
      <c r="F39" s="10"/>
      <c r="G39" s="26"/>
    </row>
    <row r="40" spans="3:8" ht="18" hidden="1" customHeight="1" x14ac:dyDescent="0.4">
      <c r="C40" s="33" t="s">
        <v>676</v>
      </c>
      <c r="D40" s="78">
        <v>600</v>
      </c>
      <c r="E40" s="10"/>
      <c r="F40" s="10"/>
      <c r="G40" s="26"/>
    </row>
    <row r="41" spans="3:8" ht="18" hidden="1" customHeight="1" x14ac:dyDescent="0.4">
      <c r="C41" s="33" t="s">
        <v>677</v>
      </c>
      <c r="D41" s="78">
        <v>220</v>
      </c>
      <c r="E41" s="10"/>
      <c r="F41" s="10"/>
      <c r="G41" s="26"/>
    </row>
    <row r="42" spans="3:8" ht="18" hidden="1" customHeight="1" x14ac:dyDescent="0.4">
      <c r="C42" s="33" t="s">
        <v>683</v>
      </c>
      <c r="D42" s="78">
        <v>150</v>
      </c>
      <c r="E42" s="10"/>
      <c r="F42" s="10"/>
      <c r="G42" s="26"/>
    </row>
    <row r="43" spans="3:8" ht="14.4" hidden="1" customHeight="1" x14ac:dyDescent="0.4">
      <c r="C43" s="33" t="s">
        <v>684</v>
      </c>
      <c r="D43" s="10">
        <v>84</v>
      </c>
      <c r="E43" s="10" t="s">
        <v>681</v>
      </c>
      <c r="F43" s="10" t="s">
        <v>681</v>
      </c>
      <c r="G43" s="26"/>
    </row>
    <row r="44" spans="3:8" ht="14.4" hidden="1" customHeight="1" x14ac:dyDescent="0.4">
      <c r="C44" s="33" t="s">
        <v>685</v>
      </c>
      <c r="D44" s="78">
        <v>60</v>
      </c>
      <c r="E44" s="10"/>
      <c r="F44" s="10"/>
      <c r="G44" s="26"/>
    </row>
    <row r="45" spans="3:8" ht="14.4" hidden="1" customHeight="1" x14ac:dyDescent="0.4">
      <c r="C45" s="245" t="s">
        <v>686</v>
      </c>
      <c r="D45" s="126"/>
      <c r="E45" s="10"/>
      <c r="F45" s="10"/>
      <c r="G45" s="26"/>
    </row>
    <row r="46" spans="3:8" ht="14.4" hidden="1" customHeight="1" x14ac:dyDescent="0.4">
      <c r="C46" s="33" t="s">
        <v>676</v>
      </c>
      <c r="D46" s="126">
        <v>1500</v>
      </c>
      <c r="E46" s="10"/>
      <c r="F46" s="10"/>
      <c r="G46" s="26"/>
    </row>
    <row r="47" spans="3:8" ht="14.4" hidden="1" customHeight="1" x14ac:dyDescent="0.4">
      <c r="C47" s="33" t="s">
        <v>687</v>
      </c>
      <c r="D47" s="126">
        <v>660</v>
      </c>
      <c r="E47" s="10"/>
      <c r="F47" s="10"/>
      <c r="G47" s="26"/>
    </row>
    <row r="48" spans="3:8" ht="14.4" hidden="1" customHeight="1" x14ac:dyDescent="0.4">
      <c r="C48" s="33" t="s">
        <v>688</v>
      </c>
      <c r="D48" s="126">
        <v>450</v>
      </c>
      <c r="E48" s="10"/>
      <c r="F48" s="10"/>
      <c r="G48" s="26"/>
    </row>
    <row r="49" spans="3:7" ht="14.4" hidden="1" customHeight="1" x14ac:dyDescent="0.4">
      <c r="C49" s="33" t="s">
        <v>689</v>
      </c>
      <c r="D49" s="10">
        <v>252</v>
      </c>
      <c r="E49" s="10"/>
      <c r="F49" s="10"/>
      <c r="G49" s="26"/>
    </row>
    <row r="50" spans="3:7" ht="14.4" hidden="1" customHeight="1" x14ac:dyDescent="0.4">
      <c r="C50" s="33" t="s">
        <v>690</v>
      </c>
      <c r="D50" s="10">
        <v>100</v>
      </c>
      <c r="E50" s="10"/>
      <c r="F50" s="10"/>
      <c r="G50" s="26"/>
    </row>
    <row r="51" spans="3:7" ht="14.4" hidden="1" customHeight="1" x14ac:dyDescent="0.4">
      <c r="C51" s="245" t="s">
        <v>691</v>
      </c>
      <c r="D51" s="126"/>
      <c r="E51" s="10"/>
      <c r="F51" s="10"/>
      <c r="G51" s="26"/>
    </row>
    <row r="52" spans="3:7" ht="14.4" hidden="1" customHeight="1" x14ac:dyDescent="0.4">
      <c r="C52" s="33" t="s">
        <v>692</v>
      </c>
      <c r="D52" s="126">
        <v>1500</v>
      </c>
      <c r="E52" s="10"/>
      <c r="F52" s="10"/>
      <c r="G52" s="26"/>
    </row>
    <row r="53" spans="3:7" ht="14.4" hidden="1" customHeight="1" x14ac:dyDescent="0.4">
      <c r="C53" s="33" t="s">
        <v>693</v>
      </c>
      <c r="D53" s="126">
        <v>880</v>
      </c>
      <c r="E53" s="10"/>
      <c r="F53" s="10"/>
      <c r="G53" s="26"/>
    </row>
    <row r="54" spans="3:7" ht="14.4" hidden="1" customHeight="1" x14ac:dyDescent="0.4">
      <c r="C54" s="33" t="s">
        <v>694</v>
      </c>
      <c r="D54" s="126">
        <v>336</v>
      </c>
      <c r="E54" s="10"/>
      <c r="F54" s="10"/>
      <c r="G54" s="26"/>
    </row>
    <row r="55" spans="3:7" ht="14.4" hidden="1" customHeight="1" x14ac:dyDescent="0.4">
      <c r="C55" s="245" t="s">
        <v>695</v>
      </c>
      <c r="D55" s="126"/>
      <c r="E55" s="10"/>
      <c r="F55" s="10"/>
      <c r="G55" s="26"/>
    </row>
    <row r="56" spans="3:7" ht="14.4" hidden="1" customHeight="1" x14ac:dyDescent="0.4">
      <c r="C56" s="33" t="s">
        <v>692</v>
      </c>
      <c r="D56" s="126">
        <v>600</v>
      </c>
      <c r="E56" s="10"/>
      <c r="F56" s="10"/>
      <c r="G56" s="26"/>
    </row>
    <row r="57" spans="3:7" ht="14.4" hidden="1" customHeight="1" x14ac:dyDescent="0.4">
      <c r="C57" s="33" t="s">
        <v>693</v>
      </c>
      <c r="D57" s="126">
        <v>220</v>
      </c>
      <c r="E57" s="10"/>
      <c r="F57" s="10"/>
      <c r="G57" s="26"/>
    </row>
    <row r="58" spans="3:7" ht="14.4" hidden="1" customHeight="1" x14ac:dyDescent="0.4">
      <c r="C58" s="33" t="s">
        <v>696</v>
      </c>
      <c r="D58" s="126">
        <v>150</v>
      </c>
      <c r="E58" s="10"/>
      <c r="F58" s="10"/>
      <c r="G58" s="26"/>
    </row>
    <row r="59" spans="3:7" ht="14.4" hidden="1" customHeight="1" x14ac:dyDescent="0.4">
      <c r="C59" s="33" t="s">
        <v>697</v>
      </c>
      <c r="D59" s="126">
        <v>84</v>
      </c>
      <c r="E59" s="10"/>
      <c r="F59" s="10"/>
      <c r="G59" s="26"/>
    </row>
    <row r="60" spans="3:7" ht="14.4" hidden="1" customHeight="1" x14ac:dyDescent="0.4">
      <c r="C60" s="33" t="s">
        <v>698</v>
      </c>
      <c r="D60" s="126">
        <v>60</v>
      </c>
      <c r="E60" s="10"/>
      <c r="F60" s="10"/>
      <c r="G60" s="26"/>
    </row>
    <row r="61" spans="3:7" ht="14.4" customHeight="1" x14ac:dyDescent="0.4">
      <c r="C61" s="33"/>
      <c r="D61" s="98"/>
      <c r="E61" s="10"/>
      <c r="F61" s="10"/>
      <c r="G61" s="26"/>
    </row>
    <row r="62" spans="3:7" ht="14.4" customHeight="1" x14ac:dyDescent="0.4">
      <c r="C62" s="41" t="s">
        <v>699</v>
      </c>
      <c r="D62" s="98"/>
      <c r="E62" s="10"/>
      <c r="F62" s="10"/>
      <c r="G62" s="26"/>
    </row>
    <row r="63" spans="3:7" ht="14.4" customHeight="1" x14ac:dyDescent="0.4">
      <c r="C63" s="33" t="s">
        <v>673</v>
      </c>
      <c r="D63" s="98"/>
      <c r="E63" s="10">
        <f>SUM(20000*C5)</f>
        <v>20000</v>
      </c>
      <c r="F63" s="10"/>
      <c r="G63" s="504"/>
    </row>
    <row r="64" spans="3:7" ht="14.4" customHeight="1" x14ac:dyDescent="0.4">
      <c r="C64" s="244" t="s">
        <v>700</v>
      </c>
      <c r="D64" s="98"/>
      <c r="E64" s="10">
        <f>SUM(E66:E74)*C5</f>
        <v>2270</v>
      </c>
      <c r="F64" s="10"/>
      <c r="G64" s="45"/>
    </row>
    <row r="65" spans="3:7" ht="14.4" hidden="1" customHeight="1" x14ac:dyDescent="0.4">
      <c r="C65" s="245" t="s">
        <v>701</v>
      </c>
      <c r="D65" s="78"/>
      <c r="E65" s="10"/>
      <c r="F65" s="10"/>
      <c r="G65" s="26"/>
    </row>
    <row r="66" spans="3:7" ht="14.4" hidden="1" customHeight="1" x14ac:dyDescent="0.4">
      <c r="C66" s="33" t="s">
        <v>702</v>
      </c>
      <c r="D66" s="78"/>
      <c r="E66" s="10">
        <v>1000</v>
      </c>
      <c r="F66" s="10"/>
      <c r="G66" s="26"/>
    </row>
    <row r="67" spans="3:7" ht="14.4" hidden="1" customHeight="1" x14ac:dyDescent="0.4">
      <c r="C67" s="33" t="s">
        <v>703</v>
      </c>
      <c r="D67" s="78"/>
      <c r="E67" s="10">
        <v>400</v>
      </c>
      <c r="F67" s="10"/>
      <c r="G67" s="26"/>
    </row>
    <row r="68" spans="3:7" ht="14.4" hidden="1" customHeight="1" x14ac:dyDescent="0.4">
      <c r="C68" s="33" t="s">
        <v>697</v>
      </c>
      <c r="D68" s="78"/>
      <c r="E68" s="10">
        <v>168</v>
      </c>
      <c r="F68" s="10"/>
      <c r="G68" s="26"/>
    </row>
    <row r="69" spans="3:7" ht="14.4" hidden="1" customHeight="1" x14ac:dyDescent="0.4">
      <c r="C69" s="33" t="s">
        <v>698</v>
      </c>
      <c r="D69" s="78"/>
      <c r="E69" s="10">
        <v>50</v>
      </c>
      <c r="F69" s="10"/>
      <c r="G69" s="26"/>
    </row>
    <row r="70" spans="3:7" ht="14.4" hidden="1" customHeight="1" x14ac:dyDescent="0.4">
      <c r="C70" s="245" t="s">
        <v>704</v>
      </c>
      <c r="D70" s="78"/>
      <c r="E70" s="10"/>
      <c r="F70" s="10"/>
      <c r="G70" s="26"/>
    </row>
    <row r="71" spans="3:7" ht="14.4" hidden="1" customHeight="1" x14ac:dyDescent="0.4">
      <c r="C71" s="33" t="s">
        <v>705</v>
      </c>
      <c r="D71" s="78"/>
      <c r="E71" s="10">
        <v>500</v>
      </c>
      <c r="F71" s="10"/>
      <c r="G71" s="26"/>
    </row>
    <row r="72" spans="3:7" ht="14.4" hidden="1" customHeight="1" x14ac:dyDescent="0.4">
      <c r="C72" s="33" t="s">
        <v>697</v>
      </c>
      <c r="D72" s="78"/>
      <c r="E72" s="10">
        <v>42</v>
      </c>
      <c r="F72" s="10"/>
      <c r="G72" s="26"/>
    </row>
    <row r="73" spans="3:7" ht="14.4" hidden="1" customHeight="1" x14ac:dyDescent="0.4">
      <c r="C73" s="33" t="s">
        <v>706</v>
      </c>
      <c r="D73" s="78"/>
      <c r="E73" s="10">
        <v>10</v>
      </c>
      <c r="F73" s="10"/>
      <c r="G73" s="26"/>
    </row>
    <row r="74" spans="3:7" ht="14.4" hidden="1" customHeight="1" x14ac:dyDescent="0.4">
      <c r="C74" s="33" t="s">
        <v>707</v>
      </c>
      <c r="D74" s="78"/>
      <c r="E74" s="10">
        <v>100</v>
      </c>
      <c r="F74" s="10"/>
      <c r="G74" s="26"/>
    </row>
    <row r="75" spans="3:7" ht="14.4" customHeight="1" x14ac:dyDescent="0.4">
      <c r="C75" s="33"/>
      <c r="D75" s="98"/>
      <c r="E75" s="10"/>
      <c r="F75" s="10"/>
      <c r="G75" s="26"/>
    </row>
    <row r="76" spans="3:7" ht="14.4" customHeight="1" x14ac:dyDescent="0.4">
      <c r="C76" s="41" t="s">
        <v>708</v>
      </c>
      <c r="D76" s="98"/>
      <c r="E76" s="10"/>
      <c r="F76" s="10"/>
      <c r="G76" s="26"/>
    </row>
    <row r="77" spans="3:7" ht="14.4" customHeight="1" x14ac:dyDescent="0.4">
      <c r="C77" s="33" t="s">
        <v>673</v>
      </c>
      <c r="D77" s="98"/>
      <c r="E77" s="10"/>
      <c r="F77" s="10">
        <f>SUM(8000*C5)</f>
        <v>8000</v>
      </c>
      <c r="G77" s="26"/>
    </row>
    <row r="78" spans="3:7" ht="20.399999999999999" customHeight="1" x14ac:dyDescent="0.4">
      <c r="C78" s="41" t="s">
        <v>709</v>
      </c>
      <c r="D78" s="126"/>
      <c r="E78" s="10"/>
      <c r="F78" s="10">
        <f>SUM(F80:F83)*C5</f>
        <v>652</v>
      </c>
      <c r="G78" s="26"/>
    </row>
    <row r="79" spans="3:7" ht="14.4" hidden="1" customHeight="1" x14ac:dyDescent="0.4">
      <c r="C79" s="245" t="s">
        <v>710</v>
      </c>
      <c r="D79" s="126"/>
      <c r="E79" s="10"/>
      <c r="F79" s="10"/>
      <c r="G79" s="26"/>
    </row>
    <row r="80" spans="3:7" ht="14.4" hidden="1" customHeight="1" x14ac:dyDescent="0.4">
      <c r="C80" s="33" t="s">
        <v>692</v>
      </c>
      <c r="D80" s="126"/>
      <c r="E80" s="10"/>
      <c r="F80" s="10">
        <v>500</v>
      </c>
      <c r="G80" s="26"/>
    </row>
    <row r="81" spans="3:8" ht="14.4" hidden="1" customHeight="1" x14ac:dyDescent="0.4">
      <c r="C81" s="33" t="s">
        <v>697</v>
      </c>
      <c r="D81" s="126"/>
      <c r="E81" s="10"/>
      <c r="F81" s="10">
        <v>42</v>
      </c>
      <c r="G81" s="26"/>
    </row>
    <row r="82" spans="3:8" ht="14.4" hidden="1" customHeight="1" x14ac:dyDescent="0.4">
      <c r="C82" s="33" t="s">
        <v>706</v>
      </c>
      <c r="D82" s="126"/>
      <c r="E82" s="10"/>
      <c r="F82" s="10">
        <v>10</v>
      </c>
      <c r="G82" s="26"/>
    </row>
    <row r="83" spans="3:8" ht="16.8" hidden="1" x14ac:dyDescent="0.4">
      <c r="C83" s="33" t="s">
        <v>711</v>
      </c>
      <c r="D83" s="10"/>
      <c r="E83" s="10"/>
      <c r="F83" s="10">
        <v>100</v>
      </c>
      <c r="G83" s="26"/>
    </row>
    <row r="84" spans="3:8" ht="16.8" hidden="1" x14ac:dyDescent="0.4">
      <c r="C84" s="246" t="s">
        <v>712</v>
      </c>
      <c r="D84" s="10"/>
      <c r="E84" s="10"/>
      <c r="F84" s="10"/>
      <c r="G84" s="255"/>
      <c r="H84" s="1454"/>
    </row>
    <row r="85" spans="3:8" ht="14.4" customHeight="1" x14ac:dyDescent="0.4">
      <c r="C85" s="44"/>
      <c r="D85" s="10"/>
      <c r="E85" s="10"/>
      <c r="F85" s="10"/>
      <c r="G85" s="26"/>
      <c r="H85" s="1454"/>
    </row>
    <row r="86" spans="3:8" ht="14.4" customHeight="1" x14ac:dyDescent="0.4">
      <c r="C86" s="506" t="s">
        <v>713</v>
      </c>
      <c r="D86" s="10"/>
      <c r="E86" s="10"/>
      <c r="F86" s="10"/>
      <c r="G86" s="26"/>
      <c r="H86" s="1454"/>
    </row>
    <row r="87" spans="3:8" ht="14.4" customHeight="1" x14ac:dyDescent="0.4">
      <c r="C87" s="46" t="s">
        <v>714</v>
      </c>
      <c r="D87" s="10">
        <f>SUM(925)*C5</f>
        <v>925</v>
      </c>
      <c r="E87" s="10">
        <f>900*C5</f>
        <v>900</v>
      </c>
      <c r="F87" s="261">
        <f>900*C5</f>
        <v>900</v>
      </c>
      <c r="G87" s="26"/>
      <c r="H87" s="1454"/>
    </row>
    <row r="88" spans="3:8" ht="14.4" customHeight="1" x14ac:dyDescent="0.4">
      <c r="C88" s="46" t="s">
        <v>715</v>
      </c>
      <c r="D88" s="10">
        <f>SUM(925)*C5</f>
        <v>925</v>
      </c>
      <c r="E88" s="10">
        <f>900*C5</f>
        <v>900</v>
      </c>
      <c r="F88" s="261">
        <f>900*C5</f>
        <v>900</v>
      </c>
      <c r="G88" s="26"/>
      <c r="H88" s="1454"/>
    </row>
    <row r="89" spans="3:8" ht="14.4" customHeight="1" x14ac:dyDescent="0.4">
      <c r="C89" s="46" t="s">
        <v>716</v>
      </c>
      <c r="D89" s="10">
        <f>SUM(925)*C5</f>
        <v>925</v>
      </c>
      <c r="E89" s="10">
        <f>900*C5</f>
        <v>900</v>
      </c>
      <c r="F89" s="261">
        <f>900*C5</f>
        <v>900</v>
      </c>
      <c r="G89" s="26"/>
      <c r="H89" s="1454"/>
    </row>
    <row r="90" spans="3:8" ht="14.4" customHeight="1" x14ac:dyDescent="0.4">
      <c r="C90" s="33"/>
      <c r="D90" s="10"/>
      <c r="E90" s="10"/>
      <c r="F90" s="10"/>
      <c r="G90" s="26"/>
      <c r="H90" s="1454"/>
    </row>
    <row r="91" spans="3:8" ht="14.4" customHeight="1" x14ac:dyDescent="0.4">
      <c r="C91" s="93"/>
      <c r="D91" s="10"/>
      <c r="E91" s="98"/>
      <c r="F91" s="98"/>
      <c r="G91" s="505"/>
      <c r="H91" s="1454"/>
    </row>
    <row r="92" spans="3:8" ht="16.8" x14ac:dyDescent="0.4">
      <c r="C92" s="47" t="s">
        <v>409</v>
      </c>
      <c r="D92" s="12">
        <f>SUM(D31:D32,D87,D88,D89)</f>
        <v>50548</v>
      </c>
      <c r="E92" s="12">
        <f>SUM(E63:E64)</f>
        <v>22270</v>
      </c>
      <c r="F92" s="12">
        <f>SUM(F77:F78)</f>
        <v>8652</v>
      </c>
      <c r="G92" s="48"/>
    </row>
    <row r="93" spans="3:8" ht="16.8" x14ac:dyDescent="0.4">
      <c r="C93" s="121"/>
      <c r="D93" s="9"/>
      <c r="E93" s="9"/>
      <c r="F93" s="9"/>
      <c r="G93" s="27"/>
    </row>
    <row r="94" spans="3:8" ht="19.95" customHeight="1" x14ac:dyDescent="0.4">
      <c r="C94" s="265" t="s">
        <v>650</v>
      </c>
      <c r="D94" s="49"/>
      <c r="E94" s="49"/>
      <c r="F94" s="49"/>
      <c r="G94" s="50"/>
    </row>
    <row r="95" spans="3:8" ht="25.2" customHeight="1" x14ac:dyDescent="0.4">
      <c r="C95" s="59" t="s">
        <v>412</v>
      </c>
      <c r="D95" s="9"/>
      <c r="E95" s="9"/>
      <c r="F95" s="9"/>
      <c r="G95" s="26"/>
    </row>
    <row r="96" spans="3:8" ht="16.8" x14ac:dyDescent="0.4">
      <c r="C96" s="33" t="s">
        <v>414</v>
      </c>
      <c r="D96" s="10">
        <f>C16*C15*C17</f>
        <v>50000</v>
      </c>
      <c r="E96" s="10">
        <f>C16*C15*C17</f>
        <v>50000</v>
      </c>
      <c r="F96" s="10">
        <f>C16*C15*C17</f>
        <v>50000</v>
      </c>
      <c r="G96" s="26"/>
    </row>
    <row r="97" spans="3:7" ht="16.8" x14ac:dyDescent="0.4">
      <c r="C97" s="33" t="s">
        <v>651</v>
      </c>
      <c r="D97" s="10">
        <f>D16*D15*D17</f>
        <v>215000</v>
      </c>
      <c r="E97" s="10">
        <f>D16*D15*D17</f>
        <v>215000</v>
      </c>
      <c r="F97" s="10">
        <f>D16*D15*D17</f>
        <v>215000</v>
      </c>
      <c r="G97" s="26"/>
    </row>
    <row r="98" spans="3:7" ht="16.8" x14ac:dyDescent="0.4">
      <c r="C98" s="52" t="s">
        <v>415</v>
      </c>
      <c r="D98" s="11">
        <f>(D96*C18)+(D97*D18)</f>
        <v>66250</v>
      </c>
      <c r="E98" s="11">
        <f>(E96*C18)+(E97*D18)</f>
        <v>66250</v>
      </c>
      <c r="F98" s="261">
        <f>(F96*C18)+(F97*D18)</f>
        <v>66250</v>
      </c>
      <c r="G98" s="53"/>
    </row>
    <row r="99" spans="3:7" ht="16.8" x14ac:dyDescent="0.4">
      <c r="C99" s="52"/>
      <c r="D99" s="11"/>
      <c r="E99" s="11"/>
      <c r="F99" s="261"/>
      <c r="G99" s="53"/>
    </row>
    <row r="100" spans="3:7" ht="16.8" x14ac:dyDescent="0.4">
      <c r="C100" s="257" t="s">
        <v>416</v>
      </c>
      <c r="D100" s="11"/>
      <c r="E100" s="11"/>
      <c r="F100" s="261"/>
      <c r="G100" s="53"/>
    </row>
    <row r="101" spans="3:7" ht="16.8" x14ac:dyDescent="0.4">
      <c r="C101" s="33" t="s">
        <v>536</v>
      </c>
      <c r="D101" s="10">
        <f>(C21*C20)*C10*12</f>
        <v>16559.999999999996</v>
      </c>
      <c r="E101" s="10">
        <f>(C21*C20)*C10*12</f>
        <v>16559.999999999996</v>
      </c>
      <c r="F101" s="247">
        <f>(C21*C20)*C10*12</f>
        <v>16559.999999999996</v>
      </c>
      <c r="G101" s="29"/>
    </row>
    <row r="102" spans="3:7" ht="16.8" x14ac:dyDescent="0.4">
      <c r="C102" s="230" t="s">
        <v>421</v>
      </c>
      <c r="D102" s="11">
        <f>C22*C5</f>
        <v>7000</v>
      </c>
      <c r="E102" s="11">
        <f>C22*C5</f>
        <v>7000</v>
      </c>
      <c r="F102" s="261">
        <f>C22*C5</f>
        <v>7000</v>
      </c>
      <c r="G102" s="53"/>
    </row>
    <row r="103" spans="3:7" ht="16.8" x14ac:dyDescent="0.4">
      <c r="C103" s="227" t="s">
        <v>422</v>
      </c>
      <c r="D103" s="10">
        <f>C23*C5</f>
        <v>7000</v>
      </c>
      <c r="E103" s="10">
        <f>C23*C5</f>
        <v>7000</v>
      </c>
      <c r="F103" s="10">
        <f>C23*C5</f>
        <v>7000</v>
      </c>
      <c r="G103" s="157"/>
    </row>
    <row r="104" spans="3:7" ht="16.8" x14ac:dyDescent="0.4">
      <c r="C104" s="79" t="s">
        <v>423</v>
      </c>
      <c r="D104" s="258">
        <f>C24*C5</f>
        <v>7000</v>
      </c>
      <c r="E104" s="351">
        <f>C24*C5</f>
        <v>7000</v>
      </c>
      <c r="F104" s="351">
        <f>C24*C5</f>
        <v>7000</v>
      </c>
      <c r="G104" s="29"/>
    </row>
    <row r="105" spans="3:7" ht="16.8" x14ac:dyDescent="0.4">
      <c r="C105" s="54" t="s">
        <v>409</v>
      </c>
      <c r="D105" s="16">
        <f>SUM(D96:D104)</f>
        <v>368810</v>
      </c>
      <c r="E105" s="16">
        <f>SUM(E96:E104)</f>
        <v>368810</v>
      </c>
      <c r="F105" s="16">
        <f>SUM(F96:F104)</f>
        <v>368810</v>
      </c>
      <c r="G105" s="55"/>
    </row>
    <row r="106" spans="3:7" ht="16.8" x14ac:dyDescent="0.4">
      <c r="C106" s="56"/>
      <c r="D106" s="9"/>
      <c r="E106" s="9"/>
      <c r="F106" s="9"/>
      <c r="G106" s="57"/>
    </row>
    <row r="107" spans="3:7" ht="16.8" x14ac:dyDescent="0.4">
      <c r="C107" s="58" t="s">
        <v>424</v>
      </c>
      <c r="D107" s="16">
        <f>D92+D105</f>
        <v>419358</v>
      </c>
      <c r="E107" s="16">
        <f>E105+E92</f>
        <v>391080</v>
      </c>
      <c r="F107" s="16">
        <f>F105+F92</f>
        <v>377462</v>
      </c>
      <c r="G107" s="55"/>
    </row>
    <row r="108" spans="3:7" ht="16.8" x14ac:dyDescent="0.4">
      <c r="C108" s="59"/>
      <c r="D108" s="17"/>
      <c r="E108" s="17"/>
      <c r="F108" s="17"/>
      <c r="G108" s="57"/>
    </row>
    <row r="109" spans="3:7" ht="19.95" customHeight="1" x14ac:dyDescent="0.4">
      <c r="C109" s="265" t="s">
        <v>425</v>
      </c>
      <c r="D109" s="49"/>
      <c r="E109" s="49"/>
      <c r="F109" s="49"/>
      <c r="G109" s="50"/>
    </row>
    <row r="110" spans="3:7" ht="16.8" x14ac:dyDescent="0.4">
      <c r="C110" s="32" t="s">
        <v>426</v>
      </c>
      <c r="D110" s="9"/>
      <c r="E110" s="9"/>
      <c r="F110" s="9"/>
      <c r="G110" s="27"/>
    </row>
    <row r="111" spans="3:7" ht="41.4" customHeight="1" x14ac:dyDescent="0.4">
      <c r="C111" s="291" t="s">
        <v>427</v>
      </c>
      <c r="D111" s="557">
        <f>(D107*0.1)-D104</f>
        <v>34935.800000000003</v>
      </c>
      <c r="E111" s="557">
        <f>(E107*0.1)-E104</f>
        <v>32108</v>
      </c>
      <c r="F111" s="557">
        <f>(F107*0.1)-F104</f>
        <v>30746.200000000004</v>
      </c>
      <c r="G111" s="355" t="s">
        <v>609</v>
      </c>
    </row>
    <row r="112" spans="3:7" ht="16.8" x14ac:dyDescent="0.4">
      <c r="C112" s="93"/>
      <c r="D112" s="78"/>
      <c r="E112" s="78"/>
      <c r="F112" s="78"/>
      <c r="G112" s="27"/>
    </row>
    <row r="113" spans="2:8" ht="16.8" x14ac:dyDescent="0.4">
      <c r="C113" s="58" t="s">
        <v>429</v>
      </c>
      <c r="D113" s="16">
        <f>D111</f>
        <v>34935.800000000003</v>
      </c>
      <c r="E113" s="16">
        <f>SUM(E111:E112)</f>
        <v>32108</v>
      </c>
      <c r="F113" s="16">
        <f>SUM(F111:F112)</f>
        <v>30746.200000000004</v>
      </c>
      <c r="G113" s="55"/>
    </row>
    <row r="114" spans="2:8" ht="16.8" x14ac:dyDescent="0.4">
      <c r="C114" s="59"/>
      <c r="D114" s="17"/>
      <c r="E114" s="17"/>
      <c r="F114" s="17"/>
      <c r="G114" s="57"/>
    </row>
    <row r="115" spans="2:8" ht="16.8" x14ac:dyDescent="0.4">
      <c r="C115" s="59"/>
      <c r="D115" s="158"/>
      <c r="E115" s="158"/>
      <c r="F115" s="158"/>
      <c r="G115" s="57"/>
    </row>
    <row r="116" spans="2:8" ht="32.4" customHeight="1" x14ac:dyDescent="0.45">
      <c r="C116" s="159" t="s">
        <v>655</v>
      </c>
      <c r="D116" s="160">
        <f>D107+D113</f>
        <v>454293.8</v>
      </c>
      <c r="E116" s="160">
        <f>E107+E113</f>
        <v>423188</v>
      </c>
      <c r="F116" s="160">
        <f>F107+F113</f>
        <v>408208.2</v>
      </c>
      <c r="G116" s="161"/>
    </row>
    <row r="117" spans="2:8" ht="32.4" customHeight="1" x14ac:dyDescent="0.45">
      <c r="C117" s="162" t="s">
        <v>717</v>
      </c>
      <c r="D117" s="259">
        <f>D116/C9</f>
        <v>2019.0835555555554</v>
      </c>
      <c r="E117" s="259">
        <f>E116/C9</f>
        <v>1880.8355555555556</v>
      </c>
      <c r="F117" s="259">
        <f>F116/C9</f>
        <v>1814.2586666666666</v>
      </c>
      <c r="G117" s="260"/>
    </row>
    <row r="118" spans="2:8" ht="28.5" customHeight="1" thickBot="1" x14ac:dyDescent="0.5">
      <c r="C118" s="396" t="s">
        <v>430</v>
      </c>
      <c r="D118" s="1455">
        <f>D116+E116+F116</f>
        <v>1285690</v>
      </c>
      <c r="E118" s="1455"/>
      <c r="F118" s="1455"/>
      <c r="G118" s="397"/>
    </row>
    <row r="119" spans="2:8" ht="28.5" customHeight="1" thickTop="1" x14ac:dyDescent="0.45">
      <c r="B119" s="254"/>
      <c r="C119" s="394"/>
      <c r="D119" s="389"/>
      <c r="E119" s="389"/>
      <c r="F119" s="389"/>
      <c r="G119" s="395"/>
      <c r="H119" s="201"/>
    </row>
    <row r="120" spans="2:8" ht="24.75" customHeight="1" x14ac:dyDescent="0.4">
      <c r="C120" s="1447" t="s">
        <v>718</v>
      </c>
      <c r="D120" s="1448"/>
      <c r="E120" s="390"/>
      <c r="F120" s="390"/>
      <c r="G120" s="391"/>
    </row>
    <row r="121" spans="2:8" ht="16.8" x14ac:dyDescent="0.4">
      <c r="C121" s="1449" t="s">
        <v>719</v>
      </c>
      <c r="D121" s="1450"/>
      <c r="E121" s="392"/>
      <c r="F121" s="392"/>
      <c r="G121" s="393"/>
    </row>
    <row r="122" spans="2:8" ht="44.25" customHeight="1" x14ac:dyDescent="0.4">
      <c r="C122" s="1456" t="s">
        <v>720</v>
      </c>
      <c r="D122" s="1457"/>
      <c r="E122" s="1457"/>
      <c r="F122" s="1457"/>
      <c r="G122" s="1458"/>
    </row>
    <row r="123" spans="2:8" ht="16.8" x14ac:dyDescent="0.4">
      <c r="C123" s="388" t="s">
        <v>439</v>
      </c>
      <c r="D123" s="280"/>
      <c r="E123" s="280"/>
      <c r="F123" s="1451"/>
      <c r="G123" s="1451"/>
    </row>
    <row r="124" spans="2:8" ht="16.8" x14ac:dyDescent="0.4">
      <c r="C124" s="1452" t="s">
        <v>440</v>
      </c>
      <c r="D124" s="1453"/>
      <c r="E124" s="1453"/>
      <c r="F124" s="1453"/>
      <c r="G124" s="1453"/>
    </row>
    <row r="125" spans="2:8" ht="16.8" x14ac:dyDescent="0.4">
      <c r="C125" s="1452"/>
      <c r="D125" s="1453"/>
      <c r="E125" s="1453"/>
      <c r="F125" s="1453"/>
      <c r="G125" s="1453"/>
    </row>
    <row r="126" spans="2:8" ht="16.8" x14ac:dyDescent="0.4">
      <c r="B126"/>
      <c r="C126" s="1452"/>
      <c r="D126" s="1453"/>
      <c r="E126" s="1453"/>
      <c r="F126" s="1453"/>
      <c r="G126" s="1453"/>
    </row>
    <row r="127" spans="2:8" ht="16.8" x14ac:dyDescent="0.4">
      <c r="C127" s="1440" t="s">
        <v>721</v>
      </c>
      <c r="D127" s="1441"/>
      <c r="E127" s="1441"/>
      <c r="F127" s="1441"/>
      <c r="G127" s="1441"/>
    </row>
    <row r="128" spans="2:8" ht="16.8" x14ac:dyDescent="0.4">
      <c r="C128" s="1343" t="s">
        <v>722</v>
      </c>
      <c r="D128" s="1344"/>
      <c r="E128" s="1344"/>
      <c r="F128" s="1344"/>
      <c r="G128" s="1344"/>
    </row>
    <row r="129" spans="2:7" ht="16.8" x14ac:dyDescent="0.4">
      <c r="C129" s="1137" t="s">
        <v>723</v>
      </c>
      <c r="D129" s="1149"/>
      <c r="E129" s="1442"/>
      <c r="F129" s="1442"/>
      <c r="G129" s="1442"/>
    </row>
    <row r="130" spans="2:7" ht="15.75" customHeight="1" x14ac:dyDescent="0.4">
      <c r="C130" s="1443" t="s">
        <v>724</v>
      </c>
      <c r="D130" s="1444"/>
      <c r="E130" s="1444"/>
      <c r="F130" s="1444"/>
      <c r="G130" s="1444"/>
    </row>
    <row r="131" spans="2:7" s="279" customFormat="1" ht="19.5" customHeight="1" x14ac:dyDescent="0.45">
      <c r="B131" s="454"/>
      <c r="C131" s="1445" t="s">
        <v>725</v>
      </c>
      <c r="D131" s="1446"/>
      <c r="E131" s="1446"/>
      <c r="F131" s="1446"/>
      <c r="G131" s="1446"/>
    </row>
  </sheetData>
  <mergeCells count="30">
    <mergeCell ref="C1:G1"/>
    <mergeCell ref="D14:E14"/>
    <mergeCell ref="F14:G14"/>
    <mergeCell ref="F4:G4"/>
    <mergeCell ref="F13:G13"/>
    <mergeCell ref="D5:D6"/>
    <mergeCell ref="C3:F3"/>
    <mergeCell ref="H14:H24"/>
    <mergeCell ref="F7:G7"/>
    <mergeCell ref="D13:E13"/>
    <mergeCell ref="F18:G18"/>
    <mergeCell ref="D15:E15"/>
    <mergeCell ref="F15:G15"/>
    <mergeCell ref="D16:E16"/>
    <mergeCell ref="F16:G16"/>
    <mergeCell ref="D17:E17"/>
    <mergeCell ref="F17:G17"/>
    <mergeCell ref="D18:E18"/>
    <mergeCell ref="C120:D120"/>
    <mergeCell ref="C121:D121"/>
    <mergeCell ref="F123:G123"/>
    <mergeCell ref="C124:G126"/>
    <mergeCell ref="H84:H91"/>
    <mergeCell ref="D118:F118"/>
    <mergeCell ref="C122:G122"/>
    <mergeCell ref="C127:G127"/>
    <mergeCell ref="C128:G128"/>
    <mergeCell ref="E129:G129"/>
    <mergeCell ref="C130:G130"/>
    <mergeCell ref="C131:G131"/>
  </mergeCells>
  <hyperlinks>
    <hyperlink ref="C131:F131" r:id="rId1" display="Click here for more on WSIPP's FFT Benefit-Cost Analysis" xr:uid="{0A13265D-A593-4B86-A5EF-97C702EEE820}"/>
    <hyperlink ref="C121:D121" r:id="rId2" display="FFT Phases of Implementation and Certification Fees and Expenses" xr:uid="{5A895000-367F-4526-8CBB-742CCA4955D0}"/>
  </hyperlinks>
  <pageMargins left="0.25" right="0.25" top="0.75" bottom="0.75" header="0.3" footer="0.3"/>
  <pageSetup scale="54" orientation="portrait" r:id="rId3"/>
  <rowBreaks count="1" manualBreakCount="1">
    <brk id="108" max="6" man="1"/>
  </rowBreaks>
  <colBreaks count="1" manualBreakCount="1">
    <brk id="7" max="1048575" man="1"/>
  </colBreaks>
  <drawing r:id="rId4"/>
  <legacyDrawing r:id="rId5"/>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96BD3-9918-4A79-A87B-36A64DBF25B8}">
  <dimension ref="B1:L89"/>
  <sheetViews>
    <sheetView topLeftCell="A25" workbookViewId="0">
      <selection activeCell="G22" sqref="G22"/>
    </sheetView>
  </sheetViews>
  <sheetFormatPr defaultColWidth="9" defaultRowHeight="14.7" customHeight="1" x14ac:dyDescent="0.4"/>
  <cols>
    <col min="1" max="1" width="2.19921875" style="18" customWidth="1"/>
    <col min="2" max="2" width="39.5" style="18" customWidth="1"/>
    <col min="3" max="3" width="47.69921875" style="18" customWidth="1"/>
    <col min="4" max="6" width="23.69921875" style="18" customWidth="1"/>
    <col min="7" max="7" width="29.69921875" style="18" customWidth="1"/>
    <col min="8" max="8" width="31.5" style="18" customWidth="1"/>
    <col min="9" max="9" width="42.69921875" style="18" customWidth="1"/>
    <col min="10" max="16384" width="9" style="18"/>
  </cols>
  <sheetData>
    <row r="1" spans="2:12" ht="78.75" customHeight="1" x14ac:dyDescent="0.4">
      <c r="B1" s="911" t="s">
        <v>368</v>
      </c>
      <c r="C1" s="1476" t="s">
        <v>726</v>
      </c>
      <c r="D1" s="1477"/>
      <c r="E1" s="1477"/>
      <c r="F1" s="1477"/>
      <c r="G1" s="1477"/>
      <c r="I1" s="276"/>
      <c r="J1" s="276"/>
      <c r="K1" s="276"/>
      <c r="L1" s="276"/>
    </row>
    <row r="2" spans="2:12" ht="13.95" customHeight="1" x14ac:dyDescent="0.4">
      <c r="B2" s="1"/>
      <c r="C2" s="331"/>
      <c r="D2" s="198"/>
      <c r="E2" s="198"/>
      <c r="F2" s="198"/>
      <c r="G2" s="199"/>
      <c r="I2" s="276"/>
      <c r="J2" s="276"/>
      <c r="K2" s="276"/>
      <c r="L2" s="276"/>
    </row>
    <row r="3" spans="2:12" ht="52.95" customHeight="1" x14ac:dyDescent="0.4">
      <c r="C3" s="1314" t="s">
        <v>370</v>
      </c>
      <c r="D3" s="1315"/>
      <c r="E3" s="1315"/>
      <c r="F3" s="1315"/>
      <c r="G3" s="277"/>
      <c r="I3" s="276"/>
      <c r="J3" s="276"/>
      <c r="K3" s="276"/>
      <c r="L3" s="276"/>
    </row>
    <row r="4" spans="2:12" ht="16.8" x14ac:dyDescent="0.4">
      <c r="C4" s="118"/>
      <c r="F4" s="1462"/>
      <c r="G4" s="1473"/>
      <c r="I4" s="276"/>
      <c r="J4" s="276"/>
      <c r="K4" s="276"/>
      <c r="L4" s="276"/>
    </row>
    <row r="5" spans="2:12" s="372" customFormat="1" ht="15" customHeight="1" x14ac:dyDescent="0.4">
      <c r="B5" s="224" t="s">
        <v>371</v>
      </c>
      <c r="C5" s="991">
        <v>1</v>
      </c>
      <c r="D5" s="1305"/>
      <c r="G5" s="307"/>
      <c r="I5" s="276"/>
      <c r="J5" s="276"/>
      <c r="K5" s="276"/>
      <c r="L5" s="276"/>
    </row>
    <row r="6" spans="2:12" s="372" customFormat="1" ht="15" customHeight="1" x14ac:dyDescent="0.4">
      <c r="B6" s="224" t="s">
        <v>663</v>
      </c>
      <c r="C6" s="991">
        <v>1</v>
      </c>
      <c r="D6" s="1305"/>
      <c r="F6" s="650"/>
      <c r="G6" s="651"/>
      <c r="I6" s="276"/>
      <c r="J6" s="276"/>
      <c r="K6" s="276"/>
      <c r="L6" s="276"/>
    </row>
    <row r="7" spans="2:12" s="372" customFormat="1" ht="15" customHeight="1" x14ac:dyDescent="0.4">
      <c r="B7" s="668" t="s">
        <v>727</v>
      </c>
      <c r="C7" s="1126">
        <v>48</v>
      </c>
      <c r="D7" s="653"/>
      <c r="F7" s="1460"/>
      <c r="G7" s="1461"/>
      <c r="I7" s="276"/>
      <c r="J7" s="276"/>
      <c r="K7" s="276"/>
      <c r="L7" s="276"/>
    </row>
    <row r="8" spans="2:12" s="372" customFormat="1" ht="15" customHeight="1" x14ac:dyDescent="0.4">
      <c r="B8" s="367" t="s">
        <v>665</v>
      </c>
      <c r="C8" s="1127">
        <v>13</v>
      </c>
      <c r="F8" s="650"/>
      <c r="G8" s="651"/>
    </row>
    <row r="9" spans="2:12" s="372" customFormat="1" ht="15" customHeight="1" x14ac:dyDescent="0.4">
      <c r="B9" s="224" t="s">
        <v>728</v>
      </c>
      <c r="C9" s="295">
        <f>(C7*D16) +(C16*24)</f>
        <v>264</v>
      </c>
      <c r="G9" s="307"/>
    </row>
    <row r="10" spans="2:12" s="372" customFormat="1" ht="15" customHeight="1" x14ac:dyDescent="0.4">
      <c r="B10" s="224" t="s">
        <v>729</v>
      </c>
      <c r="C10" s="1128">
        <f>(C7*D16) +(C16*6)</f>
        <v>246</v>
      </c>
      <c r="G10" s="307"/>
    </row>
    <row r="11" spans="2:12" s="372" customFormat="1" ht="15" customHeight="1" x14ac:dyDescent="0.4">
      <c r="B11" s="224" t="s">
        <v>621</v>
      </c>
      <c r="C11" s="819">
        <f>D16+C16</f>
        <v>6</v>
      </c>
      <c r="F11" s="650"/>
      <c r="G11" s="651"/>
    </row>
    <row r="12" spans="2:12" s="372" customFormat="1" ht="15" customHeight="1" x14ac:dyDescent="0.4">
      <c r="C12" s="718"/>
      <c r="F12" s="654"/>
      <c r="G12" s="655"/>
    </row>
    <row r="13" spans="2:12" s="372" customFormat="1" ht="15" customHeight="1" x14ac:dyDescent="0.4">
      <c r="B13" s="627"/>
      <c r="C13" s="602"/>
      <c r="F13" s="654"/>
      <c r="G13" s="655"/>
    </row>
    <row r="14" spans="2:12" s="372" customFormat="1" ht="15" customHeight="1" x14ac:dyDescent="0.4">
      <c r="B14" s="628"/>
      <c r="C14" s="873" t="s">
        <v>667</v>
      </c>
      <c r="D14" s="1462" t="s">
        <v>668</v>
      </c>
      <c r="E14" s="1462"/>
      <c r="F14" s="1474"/>
      <c r="G14" s="1475"/>
    </row>
    <row r="15" spans="2:12" s="372" customFormat="1" ht="15" customHeight="1" x14ac:dyDescent="0.4">
      <c r="B15" s="626" t="s">
        <v>584</v>
      </c>
      <c r="C15" s="1144">
        <v>1</v>
      </c>
      <c r="D15" s="1471">
        <v>5</v>
      </c>
      <c r="E15" s="1471"/>
      <c r="F15" s="1472"/>
      <c r="G15" s="1472"/>
      <c r="H15" s="1459"/>
      <c r="I15" s="656"/>
    </row>
    <row r="16" spans="2:12" s="372" customFormat="1" ht="15" customHeight="1" x14ac:dyDescent="0.4">
      <c r="B16" s="224" t="s">
        <v>382</v>
      </c>
      <c r="C16" s="660">
        <v>1</v>
      </c>
      <c r="D16" s="1464">
        <f>D15*C6</f>
        <v>5</v>
      </c>
      <c r="E16" s="1464"/>
      <c r="F16" s="1465"/>
      <c r="G16" s="1465"/>
      <c r="H16" s="1459"/>
      <c r="I16" s="656"/>
    </row>
    <row r="17" spans="2:9" s="372" customFormat="1" ht="15" customHeight="1" x14ac:dyDescent="0.4">
      <c r="B17" s="224" t="s">
        <v>383</v>
      </c>
      <c r="C17" s="989">
        <v>50000</v>
      </c>
      <c r="D17" s="1466">
        <v>43000</v>
      </c>
      <c r="E17" s="1466"/>
      <c r="F17" s="1467"/>
      <c r="G17" s="1467"/>
      <c r="H17" s="1459"/>
      <c r="I17" s="657"/>
    </row>
    <row r="18" spans="2:9" s="372" customFormat="1" ht="15" customHeight="1" x14ac:dyDescent="0.4">
      <c r="B18" s="224" t="s">
        <v>384</v>
      </c>
      <c r="C18" s="990">
        <v>1</v>
      </c>
      <c r="D18" s="1468">
        <v>1</v>
      </c>
      <c r="E18" s="1468"/>
      <c r="F18" s="1469"/>
      <c r="G18" s="1469"/>
      <c r="H18" s="1459"/>
      <c r="I18" s="656"/>
    </row>
    <row r="19" spans="2:9" s="372" customFormat="1" ht="15" customHeight="1" x14ac:dyDescent="0.4">
      <c r="B19" s="224" t="s">
        <v>385</v>
      </c>
      <c r="C19" s="930">
        <v>0.25</v>
      </c>
      <c r="D19" s="1336">
        <v>0.25</v>
      </c>
      <c r="E19" s="1470"/>
      <c r="F19" s="1463"/>
      <c r="G19" s="1463"/>
      <c r="H19" s="1459"/>
      <c r="I19" s="656"/>
    </row>
    <row r="20" spans="2:9" s="656" customFormat="1" ht="15" customHeight="1" x14ac:dyDescent="0.4">
      <c r="B20" s="635"/>
      <c r="C20" s="918"/>
      <c r="D20" s="637"/>
      <c r="E20" s="637"/>
      <c r="F20" s="1146"/>
      <c r="G20" s="658"/>
      <c r="H20" s="1459"/>
    </row>
    <row r="21" spans="2:9" s="372" customFormat="1" ht="15" customHeight="1" x14ac:dyDescent="0.4">
      <c r="B21" s="224" t="s">
        <v>451</v>
      </c>
      <c r="C21" s="992">
        <v>0.57499999999999996</v>
      </c>
      <c r="D21" s="637"/>
      <c r="E21" s="637"/>
      <c r="F21" s="1146"/>
      <c r="G21" s="658"/>
      <c r="H21" s="1459"/>
      <c r="I21" s="656"/>
    </row>
    <row r="22" spans="2:9" s="372" customFormat="1" ht="15" customHeight="1" x14ac:dyDescent="0.4">
      <c r="B22" s="224" t="s">
        <v>513</v>
      </c>
      <c r="C22" s="993">
        <v>400</v>
      </c>
      <c r="D22" s="637"/>
      <c r="E22" s="637"/>
      <c r="F22" s="1146"/>
      <c r="G22" s="658"/>
      <c r="H22" s="1459"/>
      <c r="I22" s="656"/>
    </row>
    <row r="23" spans="2:9" s="372" customFormat="1" ht="15" customHeight="1" x14ac:dyDescent="0.4">
      <c r="B23" s="224" t="s">
        <v>590</v>
      </c>
      <c r="C23" s="994">
        <v>0</v>
      </c>
      <c r="D23" s="637"/>
      <c r="E23" s="637"/>
      <c r="F23" s="1146"/>
      <c r="G23" s="658"/>
      <c r="H23" s="1459"/>
      <c r="I23" s="656"/>
    </row>
    <row r="24" spans="2:9" s="372" customFormat="1" ht="15" customHeight="1" x14ac:dyDescent="0.4">
      <c r="B24" s="224" t="s">
        <v>457</v>
      </c>
      <c r="C24" s="994">
        <v>0</v>
      </c>
      <c r="D24" s="637"/>
      <c r="E24" s="637"/>
      <c r="F24" s="1146"/>
      <c r="G24" s="658"/>
      <c r="H24" s="1459"/>
      <c r="I24" s="656"/>
    </row>
    <row r="25" spans="2:9" s="372" customFormat="1" ht="15" customHeight="1" x14ac:dyDescent="0.4">
      <c r="B25" s="224" t="s">
        <v>458</v>
      </c>
      <c r="C25" s="994">
        <v>0</v>
      </c>
      <c r="D25" s="637"/>
      <c r="E25" s="637"/>
      <c r="F25" s="637"/>
      <c r="G25" s="659"/>
      <c r="H25" s="1459"/>
      <c r="I25" s="656"/>
    </row>
    <row r="26" spans="2:9" ht="16.8" x14ac:dyDescent="0.4">
      <c r="B26" s="7"/>
      <c r="C26" s="150"/>
      <c r="D26" s="151"/>
      <c r="E26" s="151"/>
      <c r="F26" s="151"/>
      <c r="G26" s="308"/>
    </row>
    <row r="27" spans="2:9" ht="14.7" customHeight="1" thickBot="1" x14ac:dyDescent="0.45">
      <c r="B27" s="1"/>
      <c r="C27" s="31"/>
      <c r="D27" s="4"/>
      <c r="E27" s="4"/>
      <c r="F27" s="4"/>
      <c r="G27" s="25"/>
    </row>
    <row r="28" spans="2:9" ht="31.2" customHeight="1" thickTop="1" x14ac:dyDescent="0.55000000000000004">
      <c r="C28" s="39" t="s">
        <v>459</v>
      </c>
      <c r="D28" s="5"/>
      <c r="E28" s="5"/>
      <c r="F28" s="5"/>
      <c r="G28" s="40"/>
    </row>
    <row r="29" spans="2:9" ht="52.5" customHeight="1" x14ac:dyDescent="0.4">
      <c r="C29" s="118"/>
      <c r="D29" s="301" t="s">
        <v>730</v>
      </c>
      <c r="E29" s="301" t="s">
        <v>731</v>
      </c>
      <c r="F29" s="301" t="s">
        <v>732</v>
      </c>
      <c r="G29" s="290" t="s">
        <v>334</v>
      </c>
    </row>
    <row r="30" spans="2:9" ht="19.95" customHeight="1" x14ac:dyDescent="0.4">
      <c r="C30" s="702" t="s">
        <v>632</v>
      </c>
      <c r="D30" s="423"/>
      <c r="E30" s="423"/>
      <c r="F30" s="423"/>
      <c r="G30" s="419"/>
    </row>
    <row r="31" spans="2:9" ht="25.2" customHeight="1" x14ac:dyDescent="0.4">
      <c r="C31" s="507" t="s">
        <v>733</v>
      </c>
      <c r="D31" s="78">
        <v>40000</v>
      </c>
      <c r="E31" s="42"/>
      <c r="F31" s="42"/>
      <c r="G31" s="45"/>
    </row>
    <row r="32" spans="2:9" ht="21" customHeight="1" x14ac:dyDescent="0.65">
      <c r="C32" s="33" t="s">
        <v>734</v>
      </c>
      <c r="D32" s="10">
        <f>(40000*C6)</f>
        <v>40000</v>
      </c>
      <c r="E32" s="10">
        <v>0</v>
      </c>
      <c r="F32" s="10">
        <v>0</v>
      </c>
      <c r="G32" s="504"/>
      <c r="H32" s="153"/>
    </row>
    <row r="33" spans="3:8" ht="18" customHeight="1" x14ac:dyDescent="0.65">
      <c r="C33" s="244" t="s">
        <v>735</v>
      </c>
      <c r="D33" s="10">
        <f>2625*C6</f>
        <v>2625</v>
      </c>
      <c r="E33" s="10">
        <v>0</v>
      </c>
      <c r="F33" s="10">
        <v>0</v>
      </c>
      <c r="G33" s="45"/>
      <c r="H33" s="153"/>
    </row>
    <row r="34" spans="3:8" ht="41.7" customHeight="1" x14ac:dyDescent="0.65">
      <c r="C34" s="1124" t="s">
        <v>736</v>
      </c>
      <c r="D34" s="10"/>
      <c r="E34" s="10"/>
      <c r="F34" s="10"/>
      <c r="G34" s="26"/>
      <c r="H34" s="153"/>
    </row>
    <row r="35" spans="3:8" ht="14.7" customHeight="1" x14ac:dyDescent="0.4">
      <c r="C35" s="33"/>
      <c r="D35" s="98"/>
      <c r="E35" s="10"/>
      <c r="F35" s="10"/>
      <c r="G35" s="26"/>
    </row>
    <row r="36" spans="3:8" ht="39.450000000000003" customHeight="1" x14ac:dyDescent="0.4">
      <c r="C36" s="1125" t="s">
        <v>737</v>
      </c>
      <c r="D36" s="98"/>
      <c r="E36" s="10">
        <v>20000</v>
      </c>
      <c r="F36" s="10"/>
      <c r="G36" s="26"/>
    </row>
    <row r="37" spans="3:8" ht="14.7" customHeight="1" x14ac:dyDescent="0.4">
      <c r="C37" s="33" t="s">
        <v>734</v>
      </c>
      <c r="D37" s="98"/>
      <c r="E37" s="10">
        <f>(20000*C6)</f>
        <v>20000</v>
      </c>
      <c r="F37" s="10"/>
      <c r="G37" s="504"/>
    </row>
    <row r="38" spans="3:8" ht="14.7" customHeight="1" x14ac:dyDescent="0.4">
      <c r="C38" s="244" t="s">
        <v>700</v>
      </c>
      <c r="D38" s="98"/>
      <c r="E38" s="10"/>
      <c r="F38" s="10"/>
      <c r="G38" s="45"/>
    </row>
    <row r="39" spans="3:8" ht="31.95" customHeight="1" x14ac:dyDescent="0.4">
      <c r="C39" s="1124" t="s">
        <v>738</v>
      </c>
      <c r="D39" s="78"/>
      <c r="E39" s="302">
        <f>1750*C6</f>
        <v>1750</v>
      </c>
      <c r="F39" s="10"/>
      <c r="G39" s="26"/>
    </row>
    <row r="40" spans="3:8" ht="33.450000000000003" customHeight="1" x14ac:dyDescent="0.4">
      <c r="C40" s="1124" t="s">
        <v>739</v>
      </c>
      <c r="D40" s="78"/>
      <c r="E40" s="302">
        <f>750*C6</f>
        <v>750</v>
      </c>
      <c r="F40" s="10"/>
      <c r="G40" s="26"/>
    </row>
    <row r="41" spans="3:8" ht="14.7" customHeight="1" x14ac:dyDescent="0.4">
      <c r="C41" s="33"/>
      <c r="D41" s="98"/>
      <c r="E41" s="10"/>
      <c r="F41" s="10"/>
      <c r="G41" s="26"/>
    </row>
    <row r="42" spans="3:8" ht="14.7" customHeight="1" x14ac:dyDescent="0.4">
      <c r="C42" s="41" t="s">
        <v>740</v>
      </c>
      <c r="D42" s="98"/>
      <c r="E42" s="10"/>
      <c r="F42" s="10">
        <v>10000</v>
      </c>
      <c r="G42" s="26"/>
    </row>
    <row r="43" spans="3:8" ht="20.7" customHeight="1" x14ac:dyDescent="0.4">
      <c r="C43" s="33" t="s">
        <v>734</v>
      </c>
      <c r="D43" s="98"/>
      <c r="E43" s="10"/>
      <c r="F43" s="10">
        <f>10000*C6</f>
        <v>10000</v>
      </c>
      <c r="G43" s="26"/>
    </row>
    <row r="44" spans="3:8" ht="20.7" customHeight="1" x14ac:dyDescent="0.4">
      <c r="C44" s="244" t="s">
        <v>741</v>
      </c>
      <c r="D44" s="126"/>
      <c r="E44" s="10"/>
      <c r="F44" s="10"/>
      <c r="G44" s="26"/>
    </row>
    <row r="45" spans="3:8" ht="30.45" customHeight="1" x14ac:dyDescent="0.4">
      <c r="C45" s="1124" t="s">
        <v>742</v>
      </c>
      <c r="D45" s="126"/>
      <c r="E45" s="10"/>
      <c r="F45" s="302">
        <f>875*C6</f>
        <v>875</v>
      </c>
      <c r="G45" s="26"/>
    </row>
    <row r="46" spans="3:8" ht="30.45" customHeight="1" x14ac:dyDescent="0.4">
      <c r="C46" s="1124" t="s">
        <v>743</v>
      </c>
      <c r="D46" s="126"/>
      <c r="E46" s="10"/>
      <c r="F46" s="302">
        <f>750*C6</f>
        <v>750</v>
      </c>
      <c r="G46" s="26"/>
    </row>
    <row r="47" spans="3:8" ht="14.7" customHeight="1" x14ac:dyDescent="0.4">
      <c r="C47" s="93"/>
      <c r="D47" s="10"/>
      <c r="E47" s="98"/>
      <c r="F47" s="98"/>
      <c r="G47" s="505"/>
      <c r="H47" s="1148"/>
    </row>
    <row r="48" spans="3:8" ht="16.8" x14ac:dyDescent="0.4">
      <c r="C48" s="47" t="s">
        <v>409</v>
      </c>
      <c r="D48" s="12">
        <f>SUM(D32:D33)</f>
        <v>42625</v>
      </c>
      <c r="E48" s="12">
        <f>SUM(E37:E40)</f>
        <v>22500</v>
      </c>
      <c r="F48" s="12">
        <f>SUM(F43:F46)</f>
        <v>11625</v>
      </c>
      <c r="G48" s="48"/>
    </row>
    <row r="49" spans="3:7" ht="16.8" x14ac:dyDescent="0.4">
      <c r="C49" s="121"/>
      <c r="D49" s="9"/>
      <c r="E49" s="9"/>
      <c r="F49" s="9"/>
      <c r="G49" s="27"/>
    </row>
    <row r="50" spans="3:7" ht="19.95" customHeight="1" x14ac:dyDescent="0.4">
      <c r="C50" s="265" t="s">
        <v>650</v>
      </c>
      <c r="D50" s="49"/>
      <c r="E50" s="49"/>
      <c r="F50" s="49"/>
      <c r="G50" s="50"/>
    </row>
    <row r="51" spans="3:7" ht="25.2" customHeight="1" x14ac:dyDescent="0.4">
      <c r="C51" s="59" t="s">
        <v>412</v>
      </c>
      <c r="D51" s="9"/>
      <c r="E51" s="9"/>
      <c r="F51" s="9"/>
      <c r="G51" s="26"/>
    </row>
    <row r="52" spans="3:7" ht="16.8" x14ac:dyDescent="0.4">
      <c r="C52" s="33" t="s">
        <v>414</v>
      </c>
      <c r="D52" s="10">
        <f>C17*C16*C18</f>
        <v>50000</v>
      </c>
      <c r="E52" s="10">
        <f>C17*C16*C18</f>
        <v>50000</v>
      </c>
      <c r="F52" s="10">
        <f>C17*C16*C18</f>
        <v>50000</v>
      </c>
      <c r="G52" s="26"/>
    </row>
    <row r="53" spans="3:7" ht="16.8" x14ac:dyDescent="0.4">
      <c r="C53" s="33" t="s">
        <v>651</v>
      </c>
      <c r="D53" s="10">
        <f>D17*D16*D18</f>
        <v>215000</v>
      </c>
      <c r="E53" s="10">
        <f>D17*D16*D18</f>
        <v>215000</v>
      </c>
      <c r="F53" s="10">
        <f>D17*D16*D18</f>
        <v>215000</v>
      </c>
      <c r="G53" s="26"/>
    </row>
    <row r="54" spans="3:7" ht="16.8" x14ac:dyDescent="0.4">
      <c r="C54" s="52" t="s">
        <v>415</v>
      </c>
      <c r="D54" s="11">
        <f>(D52*C19)+(D53*D19)</f>
        <v>66250</v>
      </c>
      <c r="E54" s="11">
        <f>(E52*C19)+(E53*D19)</f>
        <v>66250</v>
      </c>
      <c r="F54" s="1122">
        <f>(F52*C19)+(F53*D19)</f>
        <v>66250</v>
      </c>
      <c r="G54" s="53"/>
    </row>
    <row r="55" spans="3:7" ht="16.8" x14ac:dyDescent="0.4">
      <c r="C55" s="52"/>
      <c r="D55" s="11"/>
      <c r="E55" s="11"/>
      <c r="F55" s="1122"/>
      <c r="G55" s="53"/>
    </row>
    <row r="56" spans="3:7" ht="16.8" x14ac:dyDescent="0.4">
      <c r="C56" s="257" t="s">
        <v>416</v>
      </c>
      <c r="D56" s="11"/>
      <c r="E56" s="11"/>
      <c r="F56" s="1122"/>
      <c r="G56" s="53"/>
    </row>
    <row r="57" spans="3:7" ht="16.8" x14ac:dyDescent="0.4">
      <c r="C57" s="33" t="s">
        <v>536</v>
      </c>
      <c r="D57" s="10">
        <f>(C22*C21)*C11*12</f>
        <v>16559.999999999996</v>
      </c>
      <c r="E57" s="10">
        <f>(C22*C21)*C11*12</f>
        <v>16559.999999999996</v>
      </c>
      <c r="F57" s="1123">
        <f>(C22*C21)*C11*12</f>
        <v>16559.999999999996</v>
      </c>
      <c r="G57" s="29"/>
    </row>
    <row r="58" spans="3:7" ht="16.8" x14ac:dyDescent="0.4">
      <c r="C58" s="230" t="s">
        <v>421</v>
      </c>
      <c r="D58" s="11">
        <f>C23*C5</f>
        <v>0</v>
      </c>
      <c r="E58" s="11">
        <f>C23*C5</f>
        <v>0</v>
      </c>
      <c r="F58" s="1122">
        <f>C23*C5</f>
        <v>0</v>
      </c>
      <c r="G58" s="53"/>
    </row>
    <row r="59" spans="3:7" ht="16.8" x14ac:dyDescent="0.4">
      <c r="C59" s="227" t="s">
        <v>422</v>
      </c>
      <c r="D59" s="10">
        <f>C24*C5</f>
        <v>0</v>
      </c>
      <c r="E59" s="10">
        <f>C24*C5</f>
        <v>0</v>
      </c>
      <c r="F59" s="1121">
        <f>C24*C5</f>
        <v>0</v>
      </c>
      <c r="G59" s="157"/>
    </row>
    <row r="60" spans="3:7" ht="16.8" x14ac:dyDescent="0.4">
      <c r="C60" s="79" t="s">
        <v>423</v>
      </c>
      <c r="D60" s="258">
        <f>C25*C5</f>
        <v>0</v>
      </c>
      <c r="E60" s="351">
        <f>C25*C5</f>
        <v>0</v>
      </c>
      <c r="F60" s="1120">
        <f>C25*C5</f>
        <v>0</v>
      </c>
      <c r="G60" s="29"/>
    </row>
    <row r="61" spans="3:7" ht="16.8" x14ac:dyDescent="0.4">
      <c r="C61" s="54" t="s">
        <v>409</v>
      </c>
      <c r="D61" s="16">
        <f>SUM(D52:D60)</f>
        <v>347810</v>
      </c>
      <c r="E61" s="16">
        <f>SUM(E52:E60)</f>
        <v>347810</v>
      </c>
      <c r="F61" s="16">
        <f>SUM(F52:F60)</f>
        <v>347810</v>
      </c>
      <c r="G61" s="55"/>
    </row>
    <row r="62" spans="3:7" ht="16.8" x14ac:dyDescent="0.4">
      <c r="C62" s="56"/>
      <c r="D62" s="9"/>
      <c r="E62" s="9"/>
      <c r="F62" s="9"/>
      <c r="G62" s="57"/>
    </row>
    <row r="63" spans="3:7" ht="16.8" x14ac:dyDescent="0.4">
      <c r="C63" s="58" t="s">
        <v>424</v>
      </c>
      <c r="D63" s="16">
        <f>D48+D61</f>
        <v>390435</v>
      </c>
      <c r="E63" s="16">
        <f>E61+E48</f>
        <v>370310</v>
      </c>
      <c r="F63" s="16">
        <f>F61+F48</f>
        <v>359435</v>
      </c>
      <c r="G63" s="55"/>
    </row>
    <row r="64" spans="3:7" ht="16.8" x14ac:dyDescent="0.4">
      <c r="C64" s="59"/>
      <c r="D64" s="17"/>
      <c r="E64" s="17"/>
      <c r="F64" s="17"/>
      <c r="G64" s="57"/>
    </row>
    <row r="65" spans="2:8" ht="19.95" customHeight="1" x14ac:dyDescent="0.4">
      <c r="C65" s="265" t="s">
        <v>425</v>
      </c>
      <c r="D65" s="49"/>
      <c r="E65" s="49"/>
      <c r="F65" s="49"/>
      <c r="G65" s="50"/>
    </row>
    <row r="66" spans="2:8" ht="16.8" x14ac:dyDescent="0.4">
      <c r="C66" s="32" t="s">
        <v>426</v>
      </c>
      <c r="D66" s="9"/>
      <c r="E66" s="9"/>
      <c r="F66" s="9"/>
      <c r="G66" s="27"/>
    </row>
    <row r="67" spans="2:8" ht="41.7" customHeight="1" x14ac:dyDescent="0.4">
      <c r="C67" s="291" t="s">
        <v>427</v>
      </c>
      <c r="D67" s="557">
        <f>(D63*0.1)-D60</f>
        <v>39043.5</v>
      </c>
      <c r="E67" s="557">
        <f>(E63*0.1)-E60</f>
        <v>37031</v>
      </c>
      <c r="F67" s="557">
        <f>(F63*0.1)-F60</f>
        <v>35943.5</v>
      </c>
      <c r="G67" s="355" t="s">
        <v>609</v>
      </c>
    </row>
    <row r="68" spans="2:8" ht="16.8" x14ac:dyDescent="0.4">
      <c r="C68" s="93"/>
      <c r="D68" s="78"/>
      <c r="E68" s="78"/>
      <c r="F68" s="78"/>
      <c r="G68" s="27"/>
    </row>
    <row r="69" spans="2:8" ht="16.8" x14ac:dyDescent="0.4">
      <c r="C69" s="58" t="s">
        <v>429</v>
      </c>
      <c r="D69" s="16">
        <f>D67</f>
        <v>39043.5</v>
      </c>
      <c r="E69" s="16">
        <f>SUM(E67:E68)</f>
        <v>37031</v>
      </c>
      <c r="F69" s="16">
        <f>SUM(F67:F68)</f>
        <v>35943.5</v>
      </c>
      <c r="G69" s="55"/>
    </row>
    <row r="70" spans="2:8" ht="16.8" x14ac:dyDescent="0.4">
      <c r="C70" s="59"/>
      <c r="D70" s="17"/>
      <c r="E70" s="17"/>
      <c r="F70" s="17"/>
      <c r="G70" s="57"/>
    </row>
    <row r="71" spans="2:8" ht="17.399999999999999" thickBot="1" x14ac:dyDescent="0.45">
      <c r="C71" s="59"/>
      <c r="D71" s="158"/>
      <c r="E71" s="158"/>
      <c r="F71" s="158"/>
      <c r="G71" s="57"/>
    </row>
    <row r="72" spans="2:8" ht="32.700000000000003" customHeight="1" thickTop="1" x14ac:dyDescent="0.45">
      <c r="C72" s="159" t="s">
        <v>655</v>
      </c>
      <c r="D72" s="160">
        <f>D63+D69</f>
        <v>429478.5</v>
      </c>
      <c r="E72" s="160">
        <f>E63+E69</f>
        <v>407341</v>
      </c>
      <c r="F72" s="160">
        <f>F63+F69</f>
        <v>395378.5</v>
      </c>
      <c r="G72" s="161"/>
    </row>
    <row r="73" spans="2:8" ht="32.700000000000003" customHeight="1" x14ac:dyDescent="0.45">
      <c r="C73" s="162" t="s">
        <v>717</v>
      </c>
      <c r="D73" s="259">
        <f>D72/C9</f>
        <v>1626.8125</v>
      </c>
      <c r="E73" s="259">
        <f>E72/C10</f>
        <v>1655.8577235772357</v>
      </c>
      <c r="F73" s="259">
        <f>F72/C10</f>
        <v>1607.229674796748</v>
      </c>
      <c r="G73" s="260"/>
    </row>
    <row r="74" spans="2:8" ht="28.5" customHeight="1" thickBot="1" x14ac:dyDescent="0.5">
      <c r="C74" s="396" t="s">
        <v>430</v>
      </c>
      <c r="D74" s="1455">
        <f>D72+E72+F72</f>
        <v>1232198</v>
      </c>
      <c r="E74" s="1455"/>
      <c r="F74" s="1455"/>
      <c r="G74" s="397"/>
    </row>
    <row r="75" spans="2:8" ht="28.5" customHeight="1" thickTop="1" x14ac:dyDescent="0.45">
      <c r="B75" s="254"/>
      <c r="C75" s="394"/>
      <c r="D75" s="389"/>
      <c r="E75" s="389"/>
      <c r="F75" s="389"/>
      <c r="G75" s="395"/>
      <c r="H75" s="201"/>
    </row>
    <row r="76" spans="2:8" ht="28.5" customHeight="1" x14ac:dyDescent="0.45">
      <c r="C76" s="1119" t="s">
        <v>718</v>
      </c>
      <c r="D76" s="389"/>
      <c r="E76" s="389"/>
      <c r="F76" s="389"/>
      <c r="G76" s="395"/>
    </row>
    <row r="77" spans="2:8" ht="58.2" customHeight="1" x14ac:dyDescent="0.4">
      <c r="C77" s="1481" t="s">
        <v>744</v>
      </c>
      <c r="D77" s="1482"/>
      <c r="E77" s="1482"/>
      <c r="F77" s="1482"/>
      <c r="G77" s="1483"/>
    </row>
    <row r="78" spans="2:8" ht="106.2" customHeight="1" x14ac:dyDescent="0.4">
      <c r="C78" s="1478" t="s">
        <v>745</v>
      </c>
      <c r="D78" s="1479"/>
      <c r="E78" s="1479"/>
      <c r="F78" s="1479"/>
      <c r="G78" s="1480"/>
    </row>
    <row r="79" spans="2:8" ht="16.2" customHeight="1" x14ac:dyDescent="0.4">
      <c r="C79" s="518" t="s">
        <v>746</v>
      </c>
      <c r="D79" s="518"/>
      <c r="E79" s="1118"/>
      <c r="F79" s="1118"/>
    </row>
    <row r="80" spans="2:8" ht="33" customHeight="1" x14ac:dyDescent="0.4">
      <c r="C80" s="1117" t="s">
        <v>747</v>
      </c>
      <c r="D80" s="1116"/>
      <c r="E80" s="1116"/>
      <c r="F80" s="1116"/>
      <c r="G80" s="1115"/>
    </row>
    <row r="81" spans="2:7" ht="16.8" x14ac:dyDescent="0.4">
      <c r="C81" s="388" t="s">
        <v>439</v>
      </c>
      <c r="D81" s="280"/>
      <c r="E81" s="280"/>
      <c r="F81" s="1451"/>
      <c r="G81" s="1451"/>
    </row>
    <row r="82" spans="2:7" ht="16.8" x14ac:dyDescent="0.4">
      <c r="C82" s="1452" t="s">
        <v>440</v>
      </c>
      <c r="D82" s="1453"/>
      <c r="E82" s="1453"/>
      <c r="F82" s="1453"/>
      <c r="G82" s="1453"/>
    </row>
    <row r="83" spans="2:7" ht="16.8" x14ac:dyDescent="0.4">
      <c r="C83" s="1452"/>
      <c r="D83" s="1453"/>
      <c r="E83" s="1453"/>
      <c r="F83" s="1453"/>
      <c r="G83" s="1453"/>
    </row>
    <row r="84" spans="2:7" ht="23.7" customHeight="1" x14ac:dyDescent="0.4">
      <c r="B84"/>
      <c r="C84" s="1452"/>
      <c r="D84" s="1453"/>
      <c r="E84" s="1453"/>
      <c r="F84" s="1453"/>
      <c r="G84" s="1453"/>
    </row>
    <row r="85" spans="2:7" ht="16.8" x14ac:dyDescent="0.4">
      <c r="C85" s="1440" t="s">
        <v>748</v>
      </c>
      <c r="D85" s="1441"/>
      <c r="E85" s="1441"/>
      <c r="F85" s="1441"/>
      <c r="G85" s="1441"/>
    </row>
    <row r="86" spans="2:7" ht="16.8" x14ac:dyDescent="0.4">
      <c r="C86" s="1343" t="s">
        <v>722</v>
      </c>
      <c r="D86" s="1344"/>
      <c r="E86" s="1344"/>
      <c r="F86" s="1344"/>
      <c r="G86" s="1344"/>
    </row>
    <row r="87" spans="2:7" ht="16.8" x14ac:dyDescent="0.4">
      <c r="C87" s="1137" t="s">
        <v>723</v>
      </c>
      <c r="D87" s="1149"/>
      <c r="E87" s="1442"/>
      <c r="F87" s="1442"/>
      <c r="G87" s="1442"/>
    </row>
    <row r="88" spans="2:7" ht="15.75" customHeight="1" x14ac:dyDescent="0.4">
      <c r="C88" s="1443" t="s">
        <v>724</v>
      </c>
      <c r="D88" s="1444"/>
      <c r="E88" s="1444"/>
      <c r="F88" s="1444"/>
      <c r="G88" s="1444"/>
    </row>
    <row r="89" spans="2:7" s="279" customFormat="1" ht="19.5" customHeight="1" x14ac:dyDescent="0.45">
      <c r="B89" s="454"/>
      <c r="C89" s="1445" t="s">
        <v>725</v>
      </c>
      <c r="D89" s="1446"/>
      <c r="E89" s="1446"/>
      <c r="F89" s="1446"/>
      <c r="G89" s="1446"/>
    </row>
  </sheetData>
  <mergeCells count="28">
    <mergeCell ref="C78:G78"/>
    <mergeCell ref="C77:G77"/>
    <mergeCell ref="D14:E14"/>
    <mergeCell ref="F14:G14"/>
    <mergeCell ref="D74:F74"/>
    <mergeCell ref="C1:G1"/>
    <mergeCell ref="C3:F3"/>
    <mergeCell ref="F4:G4"/>
    <mergeCell ref="D5:D6"/>
    <mergeCell ref="F7:G7"/>
    <mergeCell ref="H15:H25"/>
    <mergeCell ref="D16:E16"/>
    <mergeCell ref="F16:G16"/>
    <mergeCell ref="D17:E17"/>
    <mergeCell ref="F17:G17"/>
    <mergeCell ref="D18:E18"/>
    <mergeCell ref="F18:G18"/>
    <mergeCell ref="D19:E19"/>
    <mergeCell ref="F19:G19"/>
    <mergeCell ref="D15:E15"/>
    <mergeCell ref="F15:G15"/>
    <mergeCell ref="C88:G88"/>
    <mergeCell ref="C89:G89"/>
    <mergeCell ref="F81:G81"/>
    <mergeCell ref="C82:G84"/>
    <mergeCell ref="C85:G85"/>
    <mergeCell ref="C86:G86"/>
    <mergeCell ref="E87:G87"/>
  </mergeCells>
  <hyperlinks>
    <hyperlink ref="C89:F89" r:id="rId1" display="Click here for more on WSIPP's FFT Benefit-Cost Analysis" xr:uid="{26C090F0-4BE9-4D37-B39B-672EEAC455FF}"/>
  </hyperlinks>
  <pageMargins left="0.7" right="0.7" top="0.75" bottom="0.75" header="0.3" footer="0.3"/>
  <pageSetup orientation="portrait" r:id="rId2"/>
  <drawing r:id="rId3"/>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FC35C-3E46-4CF9-8A19-CC1B31182819}">
  <dimension ref="A1:AV83"/>
  <sheetViews>
    <sheetView topLeftCell="A22" zoomScaleNormal="100" workbookViewId="0">
      <selection activeCell="C72" sqref="C72"/>
    </sheetView>
  </sheetViews>
  <sheetFormatPr defaultColWidth="9" defaultRowHeight="16.8" x14ac:dyDescent="0.4"/>
  <cols>
    <col min="1" max="1" width="2.3984375" style="18" customWidth="1"/>
    <col min="2" max="2" width="39.69921875" style="18" customWidth="1"/>
    <col min="3" max="3" width="60.19921875" style="18" customWidth="1"/>
    <col min="4" max="4" width="49" style="18" customWidth="1"/>
    <col min="5" max="5" width="51.5" style="18" customWidth="1"/>
    <col min="6" max="16384" width="9" style="18"/>
  </cols>
  <sheetData>
    <row r="1" spans="1:48" ht="81.75" customHeight="1" x14ac:dyDescent="0.4">
      <c r="B1" s="911" t="s">
        <v>368</v>
      </c>
      <c r="C1" s="1301" t="s">
        <v>749</v>
      </c>
      <c r="D1" s="1386"/>
      <c r="E1" s="1387"/>
    </row>
    <row r="2" spans="1:48" ht="15" customHeight="1" x14ac:dyDescent="0.4">
      <c r="B2" s="1"/>
      <c r="C2" s="331"/>
      <c r="D2" s="198"/>
      <c r="E2" s="199"/>
    </row>
    <row r="3" spans="1:48" ht="52.95" customHeight="1" x14ac:dyDescent="0.4">
      <c r="C3" s="1314" t="s">
        <v>370</v>
      </c>
      <c r="D3" s="1315"/>
      <c r="E3" s="1490"/>
    </row>
    <row r="4" spans="1:48" x14ac:dyDescent="0.4">
      <c r="C4" s="118"/>
      <c r="E4" s="122"/>
    </row>
    <row r="5" spans="1:48" s="372" customFormat="1" ht="15" customHeight="1" x14ac:dyDescent="0.4">
      <c r="B5" s="224" t="s">
        <v>371</v>
      </c>
      <c r="C5" s="957">
        <v>1</v>
      </c>
      <c r="E5" s="704"/>
    </row>
    <row r="6" spans="1:48" s="372" customFormat="1" ht="15" customHeight="1" x14ac:dyDescent="0.4">
      <c r="B6" s="224" t="s">
        <v>447</v>
      </c>
      <c r="C6" s="977">
        <v>3</v>
      </c>
      <c r="D6" s="671"/>
      <c r="E6" s="704"/>
    </row>
    <row r="7" spans="1:48" s="372" customFormat="1" ht="15" customHeight="1" x14ac:dyDescent="0.4">
      <c r="B7" s="224" t="s">
        <v>750</v>
      </c>
      <c r="C7" s="715">
        <f>C6*16*4</f>
        <v>192</v>
      </c>
      <c r="E7" s="704"/>
    </row>
    <row r="8" spans="1:48" s="372" customFormat="1" ht="15" customHeight="1" x14ac:dyDescent="0.4">
      <c r="B8" s="224" t="s">
        <v>751</v>
      </c>
      <c r="C8" s="716">
        <f>16</f>
        <v>16</v>
      </c>
      <c r="E8" s="599"/>
    </row>
    <row r="9" spans="1:48" s="372" customFormat="1" ht="15" customHeight="1" x14ac:dyDescent="0.4">
      <c r="B9" s="224" t="s">
        <v>752</v>
      </c>
      <c r="C9" s="717">
        <f>C12+D12+E12</f>
        <v>6</v>
      </c>
      <c r="E9" s="694"/>
    </row>
    <row r="10" spans="1:48" s="372" customFormat="1" x14ac:dyDescent="0.4">
      <c r="B10" s="627"/>
      <c r="C10" s="718"/>
      <c r="E10" s="599"/>
    </row>
    <row r="11" spans="1:48" s="372" customFormat="1" x14ac:dyDescent="0.4">
      <c r="B11" s="628"/>
      <c r="C11" s="719" t="s">
        <v>512</v>
      </c>
      <c r="D11" s="1145" t="s">
        <v>380</v>
      </c>
      <c r="E11" s="720" t="s">
        <v>416</v>
      </c>
    </row>
    <row r="12" spans="1:48" s="372" customFormat="1" ht="15" customHeight="1" x14ac:dyDescent="0.4">
      <c r="B12" s="224" t="s">
        <v>753</v>
      </c>
      <c r="C12" s="721">
        <v>0</v>
      </c>
      <c r="D12" s="722">
        <f>C6*2</f>
        <v>6</v>
      </c>
      <c r="E12" s="723"/>
    </row>
    <row r="13" spans="1:48" s="372" customFormat="1" ht="15" customHeight="1" x14ac:dyDescent="0.4">
      <c r="B13" s="224" t="s">
        <v>383</v>
      </c>
      <c r="C13" s="969">
        <v>50000</v>
      </c>
      <c r="D13" s="970">
        <v>43000</v>
      </c>
      <c r="E13" s="971" t="s">
        <v>553</v>
      </c>
    </row>
    <row r="14" spans="1:48" s="372" customFormat="1" ht="15" customHeight="1" x14ac:dyDescent="0.4">
      <c r="B14" s="224" t="s">
        <v>754</v>
      </c>
      <c r="C14" s="972">
        <v>0.05</v>
      </c>
      <c r="D14" s="973">
        <v>0.4</v>
      </c>
      <c r="E14" s="971" t="s">
        <v>553</v>
      </c>
    </row>
    <row r="15" spans="1:48" s="372" customFormat="1" ht="15" customHeight="1" x14ac:dyDescent="0.4">
      <c r="B15" s="224" t="s">
        <v>586</v>
      </c>
      <c r="C15" s="930">
        <v>0.25</v>
      </c>
      <c r="D15" s="930">
        <v>0.25</v>
      </c>
      <c r="E15" s="978" t="s">
        <v>553</v>
      </c>
      <c r="F15" s="724"/>
      <c r="AQ15" s="671"/>
      <c r="AR15" s="671"/>
      <c r="AS15" s="671"/>
      <c r="AT15" s="671"/>
      <c r="AU15" s="671"/>
      <c r="AV15" s="671"/>
    </row>
    <row r="16" spans="1:48" s="671" customFormat="1" ht="15" customHeight="1" x14ac:dyDescent="0.4">
      <c r="A16" s="372"/>
      <c r="B16" s="668"/>
      <c r="C16" s="725"/>
      <c r="D16" s="698"/>
      <c r="E16" s="726"/>
      <c r="F16" s="724"/>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row>
    <row r="17" spans="2:48" s="372" customFormat="1" ht="15" customHeight="1" x14ac:dyDescent="0.4">
      <c r="B17" s="224" t="s">
        <v>451</v>
      </c>
      <c r="C17" s="953">
        <v>0.57499999999999996</v>
      </c>
      <c r="E17" s="727"/>
      <c r="F17" s="724"/>
      <c r="AQ17" s="671"/>
      <c r="AR17" s="671"/>
      <c r="AS17" s="671"/>
      <c r="AT17" s="671"/>
      <c r="AU17" s="671"/>
      <c r="AV17" s="671"/>
    </row>
    <row r="18" spans="2:48" s="372" customFormat="1" ht="15" customHeight="1" x14ac:dyDescent="0.4">
      <c r="B18" s="224" t="s">
        <v>589</v>
      </c>
      <c r="C18" s="953">
        <v>25</v>
      </c>
      <c r="E18" s="727"/>
      <c r="F18" s="724"/>
      <c r="AQ18" s="671"/>
      <c r="AR18" s="671"/>
      <c r="AS18" s="671"/>
      <c r="AT18" s="671"/>
      <c r="AU18" s="671"/>
      <c r="AV18" s="671"/>
    </row>
    <row r="19" spans="2:48" s="372" customFormat="1" ht="15" customHeight="1" x14ac:dyDescent="0.4">
      <c r="B19" s="224" t="s">
        <v>755</v>
      </c>
      <c r="C19" s="976"/>
      <c r="E19" s="727"/>
      <c r="F19" s="724"/>
      <c r="AQ19" s="671"/>
      <c r="AR19" s="671"/>
      <c r="AS19" s="671"/>
      <c r="AT19" s="671"/>
      <c r="AU19" s="671"/>
      <c r="AV19" s="671"/>
    </row>
    <row r="20" spans="2:48" s="372" customFormat="1" ht="15" customHeight="1" x14ac:dyDescent="0.4">
      <c r="B20" s="224" t="s">
        <v>756</v>
      </c>
      <c r="C20" s="976"/>
      <c r="E20" s="727"/>
      <c r="F20" s="724"/>
      <c r="AQ20" s="671"/>
      <c r="AR20" s="671"/>
      <c r="AS20" s="671"/>
      <c r="AT20" s="671"/>
      <c r="AU20" s="671"/>
      <c r="AV20" s="671"/>
    </row>
    <row r="21" spans="2:48" s="372" customFormat="1" ht="15" customHeight="1" x14ac:dyDescent="0.4">
      <c r="B21" s="224" t="s">
        <v>388</v>
      </c>
      <c r="C21" s="932">
        <v>1</v>
      </c>
      <c r="E21" s="727"/>
      <c r="F21" s="724"/>
      <c r="AQ21" s="671"/>
      <c r="AR21" s="671"/>
      <c r="AS21" s="671"/>
      <c r="AT21" s="671"/>
      <c r="AU21" s="671"/>
      <c r="AV21" s="671"/>
    </row>
    <row r="22" spans="2:48" s="372" customFormat="1" ht="15" customHeight="1" x14ac:dyDescent="0.4">
      <c r="B22" s="224" t="s">
        <v>389</v>
      </c>
      <c r="C22" s="932">
        <v>1</v>
      </c>
      <c r="E22" s="727"/>
      <c r="F22" s="724"/>
      <c r="AQ22" s="671"/>
      <c r="AR22" s="671"/>
      <c r="AS22" s="671"/>
      <c r="AT22" s="671"/>
      <c r="AU22" s="671"/>
      <c r="AV22" s="671"/>
    </row>
    <row r="23" spans="2:48" s="372" customFormat="1" ht="15" customHeight="1" x14ac:dyDescent="0.4">
      <c r="B23" s="224" t="s">
        <v>390</v>
      </c>
      <c r="C23" s="932">
        <v>1</v>
      </c>
      <c r="E23" s="727"/>
      <c r="F23" s="724"/>
      <c r="AQ23" s="671"/>
      <c r="AR23" s="671"/>
      <c r="AS23" s="671"/>
      <c r="AT23" s="671"/>
      <c r="AU23" s="671"/>
      <c r="AV23" s="671"/>
    </row>
    <row r="24" spans="2:48" ht="30" customHeight="1" x14ac:dyDescent="0.4">
      <c r="B24" s="1"/>
      <c r="C24" s="31"/>
      <c r="D24" s="312"/>
      <c r="E24" s="203"/>
      <c r="F24" s="225"/>
      <c r="AQ24"/>
      <c r="AR24"/>
      <c r="AS24"/>
      <c r="AT24"/>
      <c r="AU24"/>
      <c r="AV24"/>
    </row>
    <row r="25" spans="2:48" ht="51.6" customHeight="1" thickBot="1" x14ac:dyDescent="0.45">
      <c r="B25" s="1"/>
      <c r="C25" s="1487" t="s">
        <v>757</v>
      </c>
      <c r="D25" s="1488"/>
      <c r="E25" s="1489"/>
    </row>
    <row r="26" spans="2:48" ht="31.2" customHeight="1" thickTop="1" x14ac:dyDescent="0.55000000000000004">
      <c r="C26" s="39" t="s">
        <v>459</v>
      </c>
      <c r="D26" s="5"/>
      <c r="E26" s="40"/>
    </row>
    <row r="27" spans="2:48" ht="13.2" customHeight="1" x14ac:dyDescent="0.4">
      <c r="C27" s="118"/>
      <c r="D27" s="289" t="s">
        <v>392</v>
      </c>
      <c r="E27" s="290" t="s">
        <v>334</v>
      </c>
    </row>
    <row r="28" spans="2:48" ht="19.95" customHeight="1" x14ac:dyDescent="0.4">
      <c r="C28" s="265" t="s">
        <v>758</v>
      </c>
      <c r="D28" s="119"/>
      <c r="E28" s="120"/>
    </row>
    <row r="29" spans="2:48" ht="22.95" customHeight="1" x14ac:dyDescent="0.4">
      <c r="C29" s="41" t="s">
        <v>461</v>
      </c>
      <c r="D29" s="42"/>
      <c r="E29" s="43"/>
      <c r="F29" s="19"/>
    </row>
    <row r="30" spans="2:48" x14ac:dyDescent="0.4">
      <c r="C30" s="283" t="s">
        <v>759</v>
      </c>
      <c r="D30" s="10">
        <f>6850*ROUNDUP((D12+C12)/15,0)</f>
        <v>6850</v>
      </c>
      <c r="E30" s="26" t="s">
        <v>760</v>
      </c>
      <c r="F30" s="19"/>
    </row>
    <row r="31" spans="2:48" x14ac:dyDescent="0.4">
      <c r="C31" s="283" t="s">
        <v>761</v>
      </c>
      <c r="D31" s="10">
        <f>775*D12</f>
        <v>4650</v>
      </c>
      <c r="E31" s="26" t="s">
        <v>762</v>
      </c>
    </row>
    <row r="32" spans="2:48" x14ac:dyDescent="0.4">
      <c r="C32" s="283" t="s">
        <v>763</v>
      </c>
      <c r="D32" s="10">
        <f>(6000+2250)*ROUNDUP((D12+C12)/25,0)</f>
        <v>8250</v>
      </c>
      <c r="E32" s="26" t="s">
        <v>764</v>
      </c>
    </row>
    <row r="33" spans="3:6" x14ac:dyDescent="0.4">
      <c r="C33" s="283" t="s">
        <v>765</v>
      </c>
      <c r="D33" s="10">
        <f>700*C9</f>
        <v>4200</v>
      </c>
      <c r="E33" s="26"/>
      <c r="F33" s="19"/>
    </row>
    <row r="34" spans="3:6" x14ac:dyDescent="0.4">
      <c r="C34" s="284" t="s">
        <v>766</v>
      </c>
      <c r="D34" s="10">
        <f>19.95*C7</f>
        <v>3830.3999999999996</v>
      </c>
      <c r="E34" s="45"/>
    </row>
    <row r="35" spans="3:6" x14ac:dyDescent="0.4">
      <c r="C35" s="284" t="s">
        <v>767</v>
      </c>
      <c r="D35" s="10">
        <f>(1000*C5)+(26.95*10)</f>
        <v>1269.5</v>
      </c>
      <c r="E35" s="45"/>
    </row>
    <row r="36" spans="3:6" x14ac:dyDescent="0.4">
      <c r="C36" s="284" t="s">
        <v>768</v>
      </c>
      <c r="D36" s="10">
        <f>475*(D12/2)</f>
        <v>1425</v>
      </c>
      <c r="E36" s="45"/>
    </row>
    <row r="37" spans="3:6" ht="19.95" customHeight="1" x14ac:dyDescent="0.4">
      <c r="C37" s="265" t="s">
        <v>525</v>
      </c>
      <c r="D37" s="119"/>
      <c r="E37" s="120"/>
    </row>
    <row r="38" spans="3:6" x14ac:dyDescent="0.4">
      <c r="C38" s="284" t="s">
        <v>769</v>
      </c>
      <c r="D38" s="10">
        <f>210*12*C5</f>
        <v>2520</v>
      </c>
      <c r="E38" s="45" t="s">
        <v>770</v>
      </c>
    </row>
    <row r="39" spans="3:6" x14ac:dyDescent="0.4">
      <c r="C39" s="285" t="s">
        <v>409</v>
      </c>
      <c r="D39" s="77">
        <f>SUM(D30:D34)</f>
        <v>27780.400000000001</v>
      </c>
      <c r="E39" s="48"/>
    </row>
    <row r="40" spans="3:6" x14ac:dyDescent="0.4">
      <c r="C40" s="121"/>
      <c r="D40" s="9"/>
      <c r="E40" s="27"/>
    </row>
    <row r="41" spans="3:6" ht="19.95" customHeight="1" x14ac:dyDescent="0.4">
      <c r="C41" s="265" t="s">
        <v>410</v>
      </c>
      <c r="D41" s="49"/>
      <c r="E41" s="50"/>
    </row>
    <row r="42" spans="3:6" x14ac:dyDescent="0.4">
      <c r="C42" s="51"/>
      <c r="D42" s="13"/>
      <c r="E42" s="26"/>
    </row>
    <row r="43" spans="3:6" x14ac:dyDescent="0.4">
      <c r="C43" s="32" t="s">
        <v>412</v>
      </c>
      <c r="D43" s="9"/>
      <c r="E43" s="26"/>
    </row>
    <row r="44" spans="3:6" x14ac:dyDescent="0.4">
      <c r="C44" s="33" t="s">
        <v>414</v>
      </c>
      <c r="D44" s="10">
        <f>C13*C12*C14</f>
        <v>0</v>
      </c>
      <c r="E44" s="26" t="s">
        <v>771</v>
      </c>
    </row>
    <row r="45" spans="3:6" x14ac:dyDescent="0.4">
      <c r="C45" s="33" t="s">
        <v>413</v>
      </c>
      <c r="D45" s="10">
        <f>D13*D12*D14</f>
        <v>103200</v>
      </c>
      <c r="E45" s="26"/>
    </row>
    <row r="46" spans="3:6" x14ac:dyDescent="0.4">
      <c r="C46" s="33" t="s">
        <v>572</v>
      </c>
      <c r="D46" s="10">
        <v>0</v>
      </c>
      <c r="E46" s="27"/>
    </row>
    <row r="47" spans="3:6" x14ac:dyDescent="0.4">
      <c r="C47" s="33" t="s">
        <v>415</v>
      </c>
      <c r="D47" s="114">
        <f>(D45*C15)+(D44*D15)</f>
        <v>25800</v>
      </c>
      <c r="E47" s="29"/>
    </row>
    <row r="48" spans="3:6" x14ac:dyDescent="0.4">
      <c r="C48" s="34"/>
      <c r="D48" s="14"/>
      <c r="E48" s="27"/>
    </row>
    <row r="49" spans="3:5" x14ac:dyDescent="0.4">
      <c r="C49" s="32" t="s">
        <v>416</v>
      </c>
      <c r="D49" s="15"/>
      <c r="E49" s="28"/>
    </row>
    <row r="50" spans="3:5" x14ac:dyDescent="0.4">
      <c r="C50" s="33" t="s">
        <v>536</v>
      </c>
      <c r="D50" s="10">
        <f>C18*C17*C9*12</f>
        <v>1034.9999999999998</v>
      </c>
      <c r="E50" s="29"/>
    </row>
    <row r="51" spans="3:5" x14ac:dyDescent="0.4">
      <c r="C51" s="52" t="s">
        <v>772</v>
      </c>
      <c r="D51" s="10">
        <f>C19</f>
        <v>0</v>
      </c>
      <c r="E51" s="29"/>
    </row>
    <row r="52" spans="3:5" x14ac:dyDescent="0.4">
      <c r="C52" s="52" t="s">
        <v>773</v>
      </c>
      <c r="D52" s="10">
        <f>C20</f>
        <v>0</v>
      </c>
      <c r="E52" s="29"/>
    </row>
    <row r="53" spans="3:5" x14ac:dyDescent="0.4">
      <c r="C53" s="52" t="s">
        <v>421</v>
      </c>
      <c r="D53" s="10">
        <f>C21*C5</f>
        <v>1</v>
      </c>
      <c r="E53" s="29"/>
    </row>
    <row r="54" spans="3:5" x14ac:dyDescent="0.4">
      <c r="C54" s="33" t="s">
        <v>422</v>
      </c>
      <c r="D54" s="10">
        <f>C22*C5</f>
        <v>1</v>
      </c>
      <c r="E54" s="29"/>
    </row>
    <row r="55" spans="3:5" x14ac:dyDescent="0.4">
      <c r="C55" s="93" t="s">
        <v>423</v>
      </c>
      <c r="D55" s="10">
        <f>C23*C5</f>
        <v>1</v>
      </c>
      <c r="E55" s="29"/>
    </row>
    <row r="56" spans="3:5" x14ac:dyDescent="0.4">
      <c r="C56" s="54" t="s">
        <v>409</v>
      </c>
      <c r="D56" s="16">
        <f>SUM(D44:D47:D50:D55)</f>
        <v>130038</v>
      </c>
      <c r="E56" s="55"/>
    </row>
    <row r="57" spans="3:5" x14ac:dyDescent="0.4">
      <c r="C57" s="56"/>
      <c r="D57" s="9"/>
      <c r="E57" s="57"/>
    </row>
    <row r="58" spans="3:5" x14ac:dyDescent="0.4">
      <c r="C58" s="58" t="s">
        <v>424</v>
      </c>
      <c r="D58" s="16">
        <f>D39+D56</f>
        <v>157818.4</v>
      </c>
      <c r="E58" s="55"/>
    </row>
    <row r="59" spans="3:5" x14ac:dyDescent="0.4">
      <c r="C59" s="59"/>
      <c r="D59" s="17"/>
      <c r="E59" s="57"/>
    </row>
    <row r="60" spans="3:5" s="372" customFormat="1" ht="19.95" customHeight="1" x14ac:dyDescent="0.4">
      <c r="C60" s="265" t="s">
        <v>425</v>
      </c>
      <c r="D60" s="738"/>
      <c r="E60" s="740"/>
    </row>
    <row r="61" spans="3:5" x14ac:dyDescent="0.4">
      <c r="C61" s="32" t="s">
        <v>426</v>
      </c>
      <c r="D61" s="9"/>
      <c r="E61" s="27"/>
    </row>
    <row r="62" spans="3:5" ht="27.6" x14ac:dyDescent="0.4">
      <c r="C62" s="291" t="s">
        <v>427</v>
      </c>
      <c r="D62" s="10">
        <f>(D58*0.1)-D55</f>
        <v>15780.84</v>
      </c>
      <c r="E62" s="355" t="s">
        <v>609</v>
      </c>
    </row>
    <row r="63" spans="3:5" x14ac:dyDescent="0.4">
      <c r="C63" s="93"/>
      <c r="D63" s="78"/>
      <c r="E63" s="27"/>
    </row>
    <row r="64" spans="3:5" x14ac:dyDescent="0.4">
      <c r="C64" s="58" t="s">
        <v>429</v>
      </c>
      <c r="D64" s="16">
        <f>SUM(D62:D63)</f>
        <v>15780.84</v>
      </c>
      <c r="E64" s="55"/>
    </row>
    <row r="65" spans="2:5" x14ac:dyDescent="0.4">
      <c r="C65" s="59"/>
      <c r="D65" s="17"/>
      <c r="E65" s="57"/>
    </row>
    <row r="66" spans="2:5" ht="17.399999999999999" thickBot="1" x14ac:dyDescent="0.45">
      <c r="C66" s="59"/>
      <c r="D66" s="17"/>
      <c r="E66" s="57"/>
    </row>
    <row r="67" spans="2:5" ht="32.4" customHeight="1" thickTop="1" x14ac:dyDescent="0.4">
      <c r="C67" s="35" t="s">
        <v>430</v>
      </c>
      <c r="D67" s="20">
        <f>D58+D64</f>
        <v>173599.24</v>
      </c>
      <c r="E67" s="147"/>
    </row>
    <row r="68" spans="2:5" ht="34.5" customHeight="1" thickBot="1" x14ac:dyDescent="0.45">
      <c r="C68" s="36" t="s">
        <v>477</v>
      </c>
      <c r="D68" s="21">
        <f>D67/C7</f>
        <v>904.16270833333328</v>
      </c>
      <c r="E68" s="148"/>
    </row>
    <row r="69" spans="2:5" ht="17.399999999999999" thickTop="1" x14ac:dyDescent="0.4">
      <c r="C69" s="118"/>
      <c r="E69" s="122"/>
    </row>
    <row r="70" spans="2:5" x14ac:dyDescent="0.4">
      <c r="C70" s="118"/>
      <c r="E70" s="122"/>
    </row>
    <row r="71" spans="2:5" x14ac:dyDescent="0.4">
      <c r="C71" s="382" t="s">
        <v>432</v>
      </c>
      <c r="D71" s="380"/>
      <c r="E71" s="381"/>
    </row>
    <row r="72" spans="2:5" x14ac:dyDescent="0.4">
      <c r="C72" s="371" t="s">
        <v>774</v>
      </c>
      <c r="E72" s="122"/>
    </row>
    <row r="73" spans="2:5" ht="26.4" customHeight="1" x14ac:dyDescent="0.4">
      <c r="C73" s="1484" t="s">
        <v>775</v>
      </c>
      <c r="D73" s="1485"/>
      <c r="E73" s="1486"/>
    </row>
    <row r="74" spans="2:5" x14ac:dyDescent="0.4">
      <c r="C74" s="509"/>
      <c r="E74" s="508"/>
    </row>
    <row r="75" spans="2:5" x14ac:dyDescent="0.4">
      <c r="C75" s="1358" t="s">
        <v>439</v>
      </c>
      <c r="D75" s="1359"/>
      <c r="E75" s="1378"/>
    </row>
    <row r="76" spans="2:5" x14ac:dyDescent="0.4">
      <c r="C76" s="1360" t="s">
        <v>440</v>
      </c>
      <c r="D76" s="1361"/>
      <c r="E76" s="1362"/>
    </row>
    <row r="77" spans="2:5" x14ac:dyDescent="0.4">
      <c r="B77"/>
      <c r="C77" s="1363"/>
      <c r="D77" s="1364"/>
      <c r="E77" s="1365"/>
    </row>
    <row r="78" spans="2:5" x14ac:dyDescent="0.4">
      <c r="C78" s="1366"/>
      <c r="D78" s="1367"/>
      <c r="E78" s="1368"/>
    </row>
    <row r="79" spans="2:5" x14ac:dyDescent="0.4">
      <c r="C79" s="1340" t="s">
        <v>776</v>
      </c>
      <c r="D79" s="1341"/>
      <c r="E79" s="1342"/>
    </row>
    <row r="80" spans="2:5" x14ac:dyDescent="0.4">
      <c r="C80" s="1343" t="s">
        <v>777</v>
      </c>
      <c r="D80" s="1344"/>
      <c r="E80" s="1345"/>
    </row>
    <row r="81" spans="1:5" x14ac:dyDescent="0.4">
      <c r="C81" s="1343" t="s">
        <v>778</v>
      </c>
      <c r="D81" s="1344"/>
      <c r="E81" s="1345"/>
    </row>
    <row r="82" spans="1:5" x14ac:dyDescent="0.4">
      <c r="C82" s="1150" t="s">
        <v>779</v>
      </c>
      <c r="D82" s="1151"/>
      <c r="E82" s="281"/>
    </row>
    <row r="83" spans="1:5" s="279" customFormat="1" ht="20.399999999999999" x14ac:dyDescent="0.45">
      <c r="A83" s="454"/>
      <c r="B83" s="455"/>
      <c r="C83" s="1346" t="s">
        <v>780</v>
      </c>
      <c r="D83" s="1347"/>
      <c r="E83" s="1348"/>
    </row>
  </sheetData>
  <mergeCells count="10">
    <mergeCell ref="C79:E79"/>
    <mergeCell ref="C80:E80"/>
    <mergeCell ref="C81:E81"/>
    <mergeCell ref="C83:E83"/>
    <mergeCell ref="C1:E1"/>
    <mergeCell ref="C73:E73"/>
    <mergeCell ref="C75:E75"/>
    <mergeCell ref="C76:E78"/>
    <mergeCell ref="C25:E25"/>
    <mergeCell ref="C3:E3"/>
  </mergeCells>
  <hyperlinks>
    <hyperlink ref="C83:E83" r:id="rId1" display="Click here for more on WSIPP's Incredible Years Benefit-Cost Analysis" xr:uid="{41C043B7-8B97-4FEA-85C5-E0760BB39936}"/>
    <hyperlink ref="C72" r:id="rId2" xr:uid="{6330A443-520B-4CCB-BF11-4FED7AF9F1FC}"/>
  </hyperlinks>
  <pageMargins left="0.25" right="0.25" top="0.75" bottom="0.75" header="0.3" footer="0.3"/>
  <pageSetup scale="47" orientation="portrait" r:id="rId3"/>
  <rowBreaks count="1" manualBreakCount="1">
    <brk id="59" max="4" man="1"/>
  </rowBreaks>
  <drawing r:id="rId4"/>
  <legacyDrawing r:id="rId5"/>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E8862-0F95-4717-953F-2340A9BBF357}">
  <dimension ref="B1:AL84"/>
  <sheetViews>
    <sheetView zoomScale="90" zoomScaleNormal="90" workbookViewId="0">
      <selection activeCell="C73" sqref="C73"/>
    </sheetView>
  </sheetViews>
  <sheetFormatPr defaultColWidth="9" defaultRowHeight="16.8" x14ac:dyDescent="0.4"/>
  <cols>
    <col min="1" max="1" width="2.3984375" style="18" customWidth="1"/>
    <col min="2" max="2" width="38.19921875" style="18" customWidth="1"/>
    <col min="3" max="3" width="59.19921875" style="18" customWidth="1"/>
    <col min="4" max="4" width="48" style="18" customWidth="1"/>
    <col min="5" max="5" width="50.8984375" style="18" customWidth="1"/>
    <col min="6" max="16384" width="9" style="18"/>
  </cols>
  <sheetData>
    <row r="1" spans="2:38" ht="79.5" customHeight="1" x14ac:dyDescent="0.4">
      <c r="B1" s="911" t="s">
        <v>368</v>
      </c>
      <c r="C1" s="1301" t="s">
        <v>781</v>
      </c>
      <c r="D1" s="1386"/>
      <c r="E1" s="1387"/>
    </row>
    <row r="2" spans="2:38" ht="13.95" customHeight="1" x14ac:dyDescent="0.4">
      <c r="B2" s="1"/>
      <c r="C2" s="331"/>
      <c r="D2" s="198"/>
      <c r="E2" s="199"/>
    </row>
    <row r="3" spans="2:38" ht="52.95" customHeight="1" x14ac:dyDescent="0.4">
      <c r="C3" s="1314" t="s">
        <v>370</v>
      </c>
      <c r="D3" s="1315"/>
      <c r="E3" s="1490"/>
    </row>
    <row r="4" spans="2:38" x14ac:dyDescent="0.4">
      <c r="C4" s="118"/>
      <c r="E4" s="122"/>
    </row>
    <row r="5" spans="2:38" s="372" customFormat="1" ht="14.4" customHeight="1" x14ac:dyDescent="0.4">
      <c r="B5" s="224" t="s">
        <v>371</v>
      </c>
      <c r="C5" s="967">
        <v>1</v>
      </c>
      <c r="E5" s="619"/>
    </row>
    <row r="6" spans="2:38" s="372" customFormat="1" ht="16.95" customHeight="1" x14ac:dyDescent="0.4">
      <c r="B6" s="224" t="s">
        <v>447</v>
      </c>
      <c r="C6" s="968">
        <v>2</v>
      </c>
      <c r="D6" s="671"/>
      <c r="E6" s="619"/>
    </row>
    <row r="7" spans="2:38" s="372" customFormat="1" x14ac:dyDescent="0.4">
      <c r="B7" s="224" t="s">
        <v>750</v>
      </c>
      <c r="C7" s="715">
        <f>C6*16*4</f>
        <v>128</v>
      </c>
      <c r="E7" s="619"/>
    </row>
    <row r="8" spans="2:38" s="372" customFormat="1" x14ac:dyDescent="0.4">
      <c r="B8" s="224" t="s">
        <v>751</v>
      </c>
      <c r="C8" s="700">
        <f>16</f>
        <v>16</v>
      </c>
      <c r="E8" s="728"/>
    </row>
    <row r="9" spans="2:38" s="372" customFormat="1" x14ac:dyDescent="0.4">
      <c r="B9" s="224" t="s">
        <v>752</v>
      </c>
      <c r="C9" s="729">
        <f>C12+D12+E12</f>
        <v>4</v>
      </c>
      <c r="E9" s="694"/>
    </row>
    <row r="10" spans="2:38" s="372" customFormat="1" x14ac:dyDescent="0.4">
      <c r="B10" s="627"/>
      <c r="C10" s="718"/>
      <c r="E10" s="599"/>
    </row>
    <row r="11" spans="2:38" s="372" customFormat="1" x14ac:dyDescent="0.4">
      <c r="B11" s="628"/>
      <c r="C11" s="719" t="s">
        <v>512</v>
      </c>
      <c r="D11" s="1145" t="s">
        <v>380</v>
      </c>
      <c r="E11" s="667" t="s">
        <v>416</v>
      </c>
    </row>
    <row r="12" spans="2:38" s="372" customFormat="1" x14ac:dyDescent="0.4">
      <c r="B12" s="224" t="s">
        <v>753</v>
      </c>
      <c r="C12" s="721">
        <v>0</v>
      </c>
      <c r="D12" s="722">
        <f>C6*2</f>
        <v>4</v>
      </c>
      <c r="E12" s="723"/>
    </row>
    <row r="13" spans="2:38" s="372" customFormat="1" x14ac:dyDescent="0.4">
      <c r="B13" s="224" t="s">
        <v>383</v>
      </c>
      <c r="C13" s="969">
        <v>50000</v>
      </c>
      <c r="D13" s="970">
        <v>43000</v>
      </c>
      <c r="E13" s="971" t="s">
        <v>553</v>
      </c>
    </row>
    <row r="14" spans="2:38" s="372" customFormat="1" x14ac:dyDescent="0.4">
      <c r="B14" s="224" t="s">
        <v>754</v>
      </c>
      <c r="C14" s="972">
        <v>0.05</v>
      </c>
      <c r="D14" s="973">
        <v>0.4</v>
      </c>
      <c r="E14" s="971" t="s">
        <v>553</v>
      </c>
    </row>
    <row r="15" spans="2:38" s="372" customFormat="1" x14ac:dyDescent="0.4">
      <c r="B15" s="224" t="s">
        <v>586</v>
      </c>
      <c r="C15" s="974">
        <v>0.25</v>
      </c>
      <c r="D15" s="974">
        <v>0.25</v>
      </c>
      <c r="E15" s="975" t="s">
        <v>553</v>
      </c>
    </row>
    <row r="16" spans="2:38" s="671" customFormat="1" x14ac:dyDescent="0.4">
      <c r="B16" s="668"/>
      <c r="C16" s="813"/>
      <c r="D16" s="698"/>
      <c r="E16" s="81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row>
    <row r="17" spans="2:6" s="372" customFormat="1" x14ac:dyDescent="0.4">
      <c r="B17" s="224" t="s">
        <v>451</v>
      </c>
      <c r="C17" s="953">
        <v>0.57499999999999996</v>
      </c>
      <c r="E17" s="711"/>
    </row>
    <row r="18" spans="2:6" s="372" customFormat="1" x14ac:dyDescent="0.4">
      <c r="B18" s="224" t="s">
        <v>589</v>
      </c>
      <c r="C18" s="953">
        <v>25</v>
      </c>
      <c r="E18" s="711"/>
    </row>
    <row r="19" spans="2:6" s="372" customFormat="1" x14ac:dyDescent="0.4">
      <c r="B19" s="224" t="s">
        <v>755</v>
      </c>
      <c r="C19" s="976"/>
      <c r="E19" s="711"/>
    </row>
    <row r="20" spans="2:6" s="372" customFormat="1" x14ac:dyDescent="0.4">
      <c r="B20" s="224" t="s">
        <v>756</v>
      </c>
      <c r="C20" s="976"/>
      <c r="E20" s="711"/>
    </row>
    <row r="21" spans="2:6" s="372" customFormat="1" x14ac:dyDescent="0.4">
      <c r="B21" s="224" t="s">
        <v>388</v>
      </c>
      <c r="C21" s="932">
        <v>1</v>
      </c>
      <c r="E21" s="711"/>
    </row>
    <row r="22" spans="2:6" s="372" customFormat="1" x14ac:dyDescent="0.4">
      <c r="B22" s="224" t="s">
        <v>389</v>
      </c>
      <c r="C22" s="932">
        <v>1</v>
      </c>
      <c r="E22" s="711"/>
    </row>
    <row r="23" spans="2:6" s="372" customFormat="1" x14ac:dyDescent="0.4">
      <c r="B23" s="224" t="s">
        <v>390</v>
      </c>
      <c r="C23" s="932">
        <v>1</v>
      </c>
      <c r="E23" s="711"/>
    </row>
    <row r="24" spans="2:6" x14ac:dyDescent="0.4">
      <c r="B24" s="7"/>
      <c r="C24" s="872"/>
      <c r="E24" s="288"/>
    </row>
    <row r="25" spans="2:6" ht="63" customHeight="1" x14ac:dyDescent="0.4">
      <c r="B25" s="1"/>
      <c r="C25" s="1487" t="s">
        <v>782</v>
      </c>
      <c r="D25" s="1488"/>
      <c r="E25" s="1491"/>
      <c r="F25" s="313"/>
    </row>
    <row r="26" spans="2:6" ht="31.2" customHeight="1" x14ac:dyDescent="0.55000000000000004">
      <c r="C26" s="116" t="s">
        <v>459</v>
      </c>
      <c r="D26" s="115"/>
      <c r="E26" s="117"/>
    </row>
    <row r="27" spans="2:6" ht="13.2" customHeight="1" x14ac:dyDescent="0.4">
      <c r="C27" s="118"/>
      <c r="D27" s="289" t="s">
        <v>392</v>
      </c>
      <c r="E27" s="309" t="s">
        <v>334</v>
      </c>
    </row>
    <row r="28" spans="2:6" ht="19.95" customHeight="1" x14ac:dyDescent="0.4">
      <c r="C28" s="265" t="s">
        <v>758</v>
      </c>
      <c r="D28" s="119"/>
      <c r="E28" s="120"/>
    </row>
    <row r="29" spans="2:6" ht="22.95" customHeight="1" x14ac:dyDescent="0.4">
      <c r="C29" s="41" t="s">
        <v>461</v>
      </c>
      <c r="D29" s="42"/>
      <c r="E29" s="43"/>
      <c r="F29" s="19"/>
    </row>
    <row r="30" spans="2:6" x14ac:dyDescent="0.4">
      <c r="C30" s="283" t="s">
        <v>759</v>
      </c>
      <c r="D30" s="370">
        <f>6850*ROUNDUP((D12+C12)/15,0)</f>
        <v>6850</v>
      </c>
      <c r="E30" s="26" t="s">
        <v>760</v>
      </c>
      <c r="F30" s="19"/>
    </row>
    <row r="31" spans="2:6" x14ac:dyDescent="0.4">
      <c r="C31" s="283" t="s">
        <v>761</v>
      </c>
      <c r="D31" s="10">
        <f>775*D12</f>
        <v>3100</v>
      </c>
      <c r="E31" s="26" t="s">
        <v>762</v>
      </c>
    </row>
    <row r="32" spans="2:6" x14ac:dyDescent="0.4">
      <c r="C32" s="283" t="s">
        <v>763</v>
      </c>
      <c r="D32" s="10">
        <f>(6000+2250)*ROUNDUP((D12+C12)/25,0)</f>
        <v>8250</v>
      </c>
      <c r="E32" s="26" t="s">
        <v>783</v>
      </c>
    </row>
    <row r="33" spans="3:6" x14ac:dyDescent="0.4">
      <c r="C33" s="283" t="s">
        <v>765</v>
      </c>
      <c r="D33" s="10">
        <f>700*C9</f>
        <v>2800</v>
      </c>
      <c r="E33" s="26"/>
      <c r="F33" s="19"/>
    </row>
    <row r="34" spans="3:6" x14ac:dyDescent="0.4">
      <c r="C34" s="284" t="s">
        <v>766</v>
      </c>
      <c r="D34" s="10">
        <f>24.95*C7</f>
        <v>3193.6</v>
      </c>
      <c r="E34" s="45"/>
    </row>
    <row r="35" spans="3:6" x14ac:dyDescent="0.4">
      <c r="C35" s="284" t="s">
        <v>767</v>
      </c>
      <c r="D35" s="10">
        <f>(1440*C5)+(26.95*10)</f>
        <v>1709.5</v>
      </c>
      <c r="E35" s="45"/>
    </row>
    <row r="36" spans="3:6" x14ac:dyDescent="0.4">
      <c r="C36" s="284" t="s">
        <v>768</v>
      </c>
      <c r="D36" s="10">
        <f>575*(D12/2)</f>
        <v>1150</v>
      </c>
      <c r="E36" s="45"/>
    </row>
    <row r="37" spans="3:6" ht="19.95" customHeight="1" x14ac:dyDescent="0.4">
      <c r="C37" s="265" t="s">
        <v>525</v>
      </c>
      <c r="D37" s="119"/>
      <c r="E37" s="120"/>
    </row>
    <row r="38" spans="3:6" x14ac:dyDescent="0.4">
      <c r="C38" s="284" t="s">
        <v>769</v>
      </c>
      <c r="D38" s="10">
        <f>210*12*C9</f>
        <v>10080</v>
      </c>
      <c r="E38" s="45" t="s">
        <v>770</v>
      </c>
    </row>
    <row r="39" spans="3:6" x14ac:dyDescent="0.4">
      <c r="C39" s="146"/>
      <c r="D39" s="78"/>
      <c r="E39" s="90"/>
    </row>
    <row r="40" spans="3:6" x14ac:dyDescent="0.4">
      <c r="C40" s="285" t="s">
        <v>409</v>
      </c>
      <c r="D40" s="77">
        <f>SUM(D30:D34)</f>
        <v>24193.599999999999</v>
      </c>
      <c r="E40" s="48"/>
    </row>
    <row r="41" spans="3:6" x14ac:dyDescent="0.4">
      <c r="C41" s="121"/>
      <c r="D41" s="9"/>
      <c r="E41" s="27"/>
    </row>
    <row r="42" spans="3:6" ht="19.95" customHeight="1" x14ac:dyDescent="0.4">
      <c r="C42" s="265" t="s">
        <v>410</v>
      </c>
      <c r="D42" s="49"/>
      <c r="E42" s="50"/>
    </row>
    <row r="43" spans="3:6" x14ac:dyDescent="0.4">
      <c r="C43" s="51"/>
      <c r="D43" s="13"/>
      <c r="E43" s="26"/>
    </row>
    <row r="44" spans="3:6" x14ac:dyDescent="0.4">
      <c r="C44" s="32" t="s">
        <v>412</v>
      </c>
      <c r="D44" s="9"/>
      <c r="E44" s="26"/>
    </row>
    <row r="45" spans="3:6" x14ac:dyDescent="0.4">
      <c r="C45" s="33" t="s">
        <v>414</v>
      </c>
      <c r="D45" s="10">
        <f>C13*C12*C14</f>
        <v>0</v>
      </c>
      <c r="E45" s="26" t="s">
        <v>771</v>
      </c>
    </row>
    <row r="46" spans="3:6" x14ac:dyDescent="0.4">
      <c r="C46" s="33" t="s">
        <v>413</v>
      </c>
      <c r="D46" s="10">
        <f>D13*D12*D14</f>
        <v>68800</v>
      </c>
      <c r="E46" s="26"/>
    </row>
    <row r="47" spans="3:6" x14ac:dyDescent="0.4">
      <c r="C47" s="33" t="s">
        <v>572</v>
      </c>
      <c r="D47" s="10">
        <v>0</v>
      </c>
      <c r="E47" s="27"/>
    </row>
    <row r="48" spans="3:6" x14ac:dyDescent="0.4">
      <c r="C48" s="33" t="s">
        <v>415</v>
      </c>
      <c r="D48" s="114">
        <f>(D46*C15)+(D45*D15)</f>
        <v>17200</v>
      </c>
      <c r="E48" s="29"/>
    </row>
    <row r="49" spans="3:5" x14ac:dyDescent="0.4">
      <c r="C49" s="34"/>
      <c r="D49" s="14"/>
      <c r="E49" s="27"/>
    </row>
    <row r="50" spans="3:5" x14ac:dyDescent="0.4">
      <c r="C50" s="32" t="s">
        <v>416</v>
      </c>
      <c r="D50" s="15"/>
      <c r="E50" s="28"/>
    </row>
    <row r="51" spans="3:5" x14ac:dyDescent="0.4">
      <c r="C51" s="33" t="s">
        <v>536</v>
      </c>
      <c r="D51" s="10">
        <f>C18*C17*C9*12</f>
        <v>689.99999999999989</v>
      </c>
      <c r="E51" s="29"/>
    </row>
    <row r="52" spans="3:5" x14ac:dyDescent="0.4">
      <c r="C52" s="52" t="s">
        <v>772</v>
      </c>
      <c r="D52" s="10">
        <f>C19</f>
        <v>0</v>
      </c>
      <c r="E52" s="29"/>
    </row>
    <row r="53" spans="3:5" x14ac:dyDescent="0.4">
      <c r="C53" s="52" t="s">
        <v>773</v>
      </c>
      <c r="D53" s="10">
        <f>C20</f>
        <v>0</v>
      </c>
      <c r="E53" s="29"/>
    </row>
    <row r="54" spans="3:5" x14ac:dyDescent="0.4">
      <c r="C54" s="52" t="s">
        <v>421</v>
      </c>
      <c r="D54" s="10">
        <f>C21*C5</f>
        <v>1</v>
      </c>
      <c r="E54" s="29"/>
    </row>
    <row r="55" spans="3:5" x14ac:dyDescent="0.4">
      <c r="C55" s="33" t="s">
        <v>422</v>
      </c>
      <c r="D55" s="10">
        <f>C22*C5</f>
        <v>1</v>
      </c>
      <c r="E55" s="29"/>
    </row>
    <row r="56" spans="3:5" x14ac:dyDescent="0.4">
      <c r="C56" s="93" t="s">
        <v>423</v>
      </c>
      <c r="D56" s="10">
        <f>C23*C5</f>
        <v>1</v>
      </c>
      <c r="E56" s="29"/>
    </row>
    <row r="57" spans="3:5" x14ac:dyDescent="0.4">
      <c r="C57" s="54" t="s">
        <v>409</v>
      </c>
      <c r="D57" s="16">
        <f>SUM(D45:D48:D51:D56)</f>
        <v>86693</v>
      </c>
      <c r="E57" s="55"/>
    </row>
    <row r="58" spans="3:5" x14ac:dyDescent="0.4">
      <c r="C58" s="56"/>
      <c r="D58" s="9"/>
      <c r="E58" s="57"/>
    </row>
    <row r="59" spans="3:5" x14ac:dyDescent="0.4">
      <c r="C59" s="58" t="s">
        <v>424</v>
      </c>
      <c r="D59" s="16">
        <f>D40+D57</f>
        <v>110886.6</v>
      </c>
      <c r="E59" s="55"/>
    </row>
    <row r="60" spans="3:5" x14ac:dyDescent="0.4">
      <c r="C60" s="59"/>
      <c r="D60" s="17"/>
      <c r="E60" s="57"/>
    </row>
    <row r="61" spans="3:5" ht="19.95" customHeight="1" x14ac:dyDescent="0.4">
      <c r="C61" s="265" t="s">
        <v>425</v>
      </c>
      <c r="D61" s="49"/>
      <c r="E61" s="50"/>
    </row>
    <row r="62" spans="3:5" x14ac:dyDescent="0.4">
      <c r="C62" s="32" t="s">
        <v>426</v>
      </c>
      <c r="D62" s="9"/>
      <c r="E62" s="27"/>
    </row>
    <row r="63" spans="3:5" ht="27.6" x14ac:dyDescent="0.4">
      <c r="C63" s="291" t="s">
        <v>427</v>
      </c>
      <c r="D63" s="10">
        <f>(D59*0.1)-D56</f>
        <v>11087.660000000002</v>
      </c>
      <c r="E63" s="89" t="s">
        <v>428</v>
      </c>
    </row>
    <row r="64" spans="3:5" x14ac:dyDescent="0.4">
      <c r="C64" s="93"/>
      <c r="D64" s="78"/>
      <c r="E64" s="27"/>
    </row>
    <row r="65" spans="2:5" x14ac:dyDescent="0.4">
      <c r="C65" s="58" t="s">
        <v>429</v>
      </c>
      <c r="D65" s="16">
        <f>SUM(D63:D64)</f>
        <v>11087.660000000002</v>
      </c>
      <c r="E65" s="55"/>
    </row>
    <row r="66" spans="2:5" x14ac:dyDescent="0.4">
      <c r="C66" s="59"/>
      <c r="D66" s="17"/>
      <c r="E66" s="57"/>
    </row>
    <row r="67" spans="2:5" ht="17.399999999999999" thickBot="1" x14ac:dyDescent="0.45">
      <c r="C67" s="59"/>
      <c r="D67" s="17"/>
      <c r="E67" s="57"/>
    </row>
    <row r="68" spans="2:5" ht="32.4" customHeight="1" thickTop="1" x14ac:dyDescent="0.4">
      <c r="C68" s="35" t="s">
        <v>430</v>
      </c>
      <c r="D68" s="20">
        <f>D59+D65</f>
        <v>121974.26000000001</v>
      </c>
      <c r="E68" s="147"/>
    </row>
    <row r="69" spans="2:5" ht="34.5" customHeight="1" thickBot="1" x14ac:dyDescent="0.45">
      <c r="C69" s="36" t="s">
        <v>477</v>
      </c>
      <c r="D69" s="21">
        <f>D68/C7</f>
        <v>952.92390625000007</v>
      </c>
      <c r="E69" s="148"/>
    </row>
    <row r="70" spans="2:5" ht="34.5" customHeight="1" thickTop="1" x14ac:dyDescent="0.4">
      <c r="C70" s="377"/>
      <c r="D70" s="378"/>
      <c r="E70" s="379"/>
    </row>
    <row r="71" spans="2:5" x14ac:dyDescent="0.4">
      <c r="C71" s="238"/>
      <c r="D71" s="380"/>
      <c r="E71" s="381"/>
    </row>
    <row r="72" spans="2:5" x14ac:dyDescent="0.4">
      <c r="C72" s="274" t="s">
        <v>784</v>
      </c>
      <c r="E72" s="122"/>
    </row>
    <row r="73" spans="2:5" x14ac:dyDescent="0.4">
      <c r="C73" s="371" t="s">
        <v>774</v>
      </c>
      <c r="E73" s="122"/>
    </row>
    <row r="74" spans="2:5" ht="22.2" customHeight="1" x14ac:dyDescent="0.4">
      <c r="C74" s="1484" t="s">
        <v>775</v>
      </c>
      <c r="D74" s="1485"/>
      <c r="E74" s="1486"/>
    </row>
    <row r="75" spans="2:5" x14ac:dyDescent="0.4">
      <c r="C75" s="1138"/>
      <c r="D75" s="1138"/>
      <c r="E75" s="1138"/>
    </row>
    <row r="76" spans="2:5" x14ac:dyDescent="0.4">
      <c r="C76" s="1358" t="s">
        <v>439</v>
      </c>
      <c r="D76" s="1359"/>
      <c r="E76" s="1378"/>
    </row>
    <row r="77" spans="2:5" x14ac:dyDescent="0.4">
      <c r="C77" s="1360" t="s">
        <v>440</v>
      </c>
      <c r="D77" s="1361"/>
      <c r="E77" s="1362"/>
    </row>
    <row r="78" spans="2:5" x14ac:dyDescent="0.4">
      <c r="B78"/>
      <c r="C78" s="1363"/>
      <c r="D78" s="1364"/>
      <c r="E78" s="1365"/>
    </row>
    <row r="79" spans="2:5" x14ac:dyDescent="0.4">
      <c r="C79" s="1366"/>
      <c r="D79" s="1367"/>
      <c r="E79" s="1368"/>
    </row>
    <row r="80" spans="2:5" x14ac:dyDescent="0.4">
      <c r="C80" s="1340" t="s">
        <v>776</v>
      </c>
      <c r="D80" s="1341"/>
      <c r="E80" s="1342"/>
    </row>
    <row r="81" spans="3:5" x14ac:dyDescent="0.4">
      <c r="C81" s="1343" t="s">
        <v>777</v>
      </c>
      <c r="D81" s="1344"/>
      <c r="E81" s="1345"/>
    </row>
    <row r="82" spans="3:5" x14ac:dyDescent="0.4">
      <c r="C82" s="1343" t="s">
        <v>778</v>
      </c>
      <c r="D82" s="1344"/>
      <c r="E82" s="1345"/>
    </row>
    <row r="83" spans="3:5" x14ac:dyDescent="0.4">
      <c r="C83" s="1150" t="s">
        <v>779</v>
      </c>
      <c r="D83" s="1151"/>
      <c r="E83" s="281"/>
    </row>
    <row r="84" spans="3:5" x14ac:dyDescent="0.4">
      <c r="C84" s="1346" t="s">
        <v>780</v>
      </c>
      <c r="D84" s="1347"/>
      <c r="E84" s="1348"/>
    </row>
  </sheetData>
  <mergeCells count="10">
    <mergeCell ref="C80:E80"/>
    <mergeCell ref="C81:E81"/>
    <mergeCell ref="C82:E82"/>
    <mergeCell ref="C84:E84"/>
    <mergeCell ref="C1:E1"/>
    <mergeCell ref="C76:E76"/>
    <mergeCell ref="C77:E79"/>
    <mergeCell ref="C25:E25"/>
    <mergeCell ref="C74:E74"/>
    <mergeCell ref="C3:E3"/>
  </mergeCells>
  <hyperlinks>
    <hyperlink ref="C84:E84" r:id="rId1" display="Click here for more on WSIPP's Incredible Years Benefit-Cost Analysis" xr:uid="{E24FF37D-A2B8-44DD-A914-80ADE34F5410}"/>
    <hyperlink ref="C73" r:id="rId2" xr:uid="{60D7BFF7-04C7-4B0C-962D-AE7B6B0D4BF2}"/>
  </hyperlinks>
  <pageMargins left="0.25" right="0.25" top="0.75" bottom="0.75" header="0.3" footer="0.3"/>
  <pageSetup scale="48" orientation="portrait" r:id="rId3"/>
  <rowBreaks count="1" manualBreakCount="1">
    <brk id="60" max="4" man="1"/>
  </rowBreaks>
  <drawing r:id="rId4"/>
  <legacyDrawing r:id="rId5"/>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23087-2920-4E0C-9A8F-1487D20EE7D1}">
  <dimension ref="A1:AU91"/>
  <sheetViews>
    <sheetView topLeftCell="A28" zoomScale="80" zoomScaleNormal="80" workbookViewId="0">
      <selection activeCell="H58" sqref="H58"/>
    </sheetView>
  </sheetViews>
  <sheetFormatPr defaultColWidth="9" defaultRowHeight="16.8" x14ac:dyDescent="0.4"/>
  <cols>
    <col min="1" max="1" width="2.3984375" style="18" customWidth="1"/>
    <col min="2" max="2" width="39.19921875" style="18" customWidth="1"/>
    <col min="3" max="3" width="35.3984375" style="18" customWidth="1"/>
    <col min="4" max="4" width="26.3984375" style="18" customWidth="1"/>
    <col min="5" max="5" width="23.8984375" style="18" customWidth="1"/>
    <col min="6" max="6" width="34.3984375" style="18" customWidth="1"/>
    <col min="7" max="7" width="28.59765625" style="18" customWidth="1"/>
    <col min="8" max="16384" width="9" style="18"/>
  </cols>
  <sheetData>
    <row r="1" spans="2:7" ht="79.5" customHeight="1" x14ac:dyDescent="0.4">
      <c r="B1" s="911" t="s">
        <v>368</v>
      </c>
      <c r="C1" s="1301" t="s">
        <v>785</v>
      </c>
      <c r="D1" s="1301"/>
      <c r="E1" s="1301"/>
      <c r="F1" s="1301"/>
    </row>
    <row r="2" spans="2:7" x14ac:dyDescent="0.4">
      <c r="C2" s="286"/>
      <c r="F2" s="122"/>
    </row>
    <row r="3" spans="2:7" ht="58.95" customHeight="1" x14ac:dyDescent="0.4">
      <c r="C3" s="1498" t="s">
        <v>370</v>
      </c>
      <c r="D3" s="1499"/>
      <c r="E3" s="1499"/>
      <c r="F3" s="1500"/>
    </row>
    <row r="4" spans="2:7" x14ac:dyDescent="0.4">
      <c r="C4" s="118"/>
      <c r="F4" s="122"/>
    </row>
    <row r="5" spans="2:7" s="372" customFormat="1" x14ac:dyDescent="0.4">
      <c r="B5" s="224" t="s">
        <v>786</v>
      </c>
      <c r="C5" s="927">
        <v>1</v>
      </c>
      <c r="F5" s="599"/>
    </row>
    <row r="6" spans="2:7" s="372" customFormat="1" ht="16.95" customHeight="1" x14ac:dyDescent="0.4">
      <c r="B6" s="224" t="s">
        <v>447</v>
      </c>
      <c r="C6" s="954">
        <v>1</v>
      </c>
      <c r="D6" s="372" t="s">
        <v>787</v>
      </c>
      <c r="F6" s="762"/>
    </row>
    <row r="7" spans="2:7" s="372" customFormat="1" ht="16.95" customHeight="1" x14ac:dyDescent="0.4">
      <c r="B7" s="224" t="s">
        <v>788</v>
      </c>
      <c r="C7" s="1046">
        <v>16.7</v>
      </c>
      <c r="F7" s="762"/>
    </row>
    <row r="8" spans="2:7" s="372" customFormat="1" x14ac:dyDescent="0.4">
      <c r="B8" s="224" t="s">
        <v>789</v>
      </c>
      <c r="C8" s="1052">
        <f>C7*D14</f>
        <v>133.6</v>
      </c>
      <c r="D8" s="1501"/>
      <c r="E8" s="1152"/>
      <c r="F8" s="762"/>
    </row>
    <row r="9" spans="2:7" s="372" customFormat="1" x14ac:dyDescent="0.4">
      <c r="B9" s="224" t="s">
        <v>790</v>
      </c>
      <c r="C9" s="1046">
        <v>25</v>
      </c>
      <c r="D9" s="1501"/>
      <c r="E9" s="1152"/>
      <c r="F9" s="692"/>
    </row>
    <row r="10" spans="2:7" s="372" customFormat="1" x14ac:dyDescent="0.4">
      <c r="B10" s="224" t="s">
        <v>791</v>
      </c>
      <c r="C10" s="763">
        <f>C9*D14</f>
        <v>200</v>
      </c>
      <c r="D10" s="1152"/>
      <c r="E10" s="1152"/>
      <c r="F10" s="672"/>
    </row>
    <row r="11" spans="2:7" s="372" customFormat="1" x14ac:dyDescent="0.4">
      <c r="B11" s="224" t="s">
        <v>587</v>
      </c>
      <c r="C11" s="764">
        <f>C14+D14+F14</f>
        <v>10</v>
      </c>
      <c r="F11" s="694"/>
    </row>
    <row r="12" spans="2:7" s="372" customFormat="1" x14ac:dyDescent="0.4">
      <c r="B12" s="224"/>
      <c r="C12" s="1045"/>
      <c r="F12" s="672"/>
    </row>
    <row r="13" spans="2:7" s="372" customFormat="1" x14ac:dyDescent="0.4">
      <c r="B13" s="224"/>
      <c r="C13" s="1044" t="s">
        <v>792</v>
      </c>
      <c r="D13" s="1044" t="s">
        <v>793</v>
      </c>
      <c r="E13" s="1044" t="s">
        <v>794</v>
      </c>
      <c r="F13" s="1044" t="s">
        <v>795</v>
      </c>
    </row>
    <row r="14" spans="2:7" s="372" customFormat="1" x14ac:dyDescent="0.4">
      <c r="B14" s="626" t="s">
        <v>796</v>
      </c>
      <c r="C14" s="1047">
        <f>C6*1</f>
        <v>1</v>
      </c>
      <c r="D14" s="1048">
        <v>8</v>
      </c>
      <c r="E14" s="1048">
        <f>C6*1</f>
        <v>1</v>
      </c>
      <c r="F14" s="1049">
        <f>C6*1</f>
        <v>1</v>
      </c>
      <c r="G14" s="512"/>
    </row>
    <row r="15" spans="2:7" s="372" customFormat="1" x14ac:dyDescent="0.4">
      <c r="B15" s="626" t="s">
        <v>797</v>
      </c>
      <c r="C15" s="1050">
        <v>75000</v>
      </c>
      <c r="D15" s="1050">
        <v>65000</v>
      </c>
      <c r="E15" s="1050">
        <v>36000</v>
      </c>
      <c r="F15" s="1050">
        <v>95000</v>
      </c>
    </row>
    <row r="16" spans="2:7" s="372" customFormat="1" x14ac:dyDescent="0.4">
      <c r="B16" s="734" t="s">
        <v>384</v>
      </c>
      <c r="C16" s="1051">
        <v>1</v>
      </c>
      <c r="D16" s="1051">
        <v>1</v>
      </c>
      <c r="E16" s="1051">
        <v>1</v>
      </c>
      <c r="F16" s="1051">
        <v>0.1</v>
      </c>
    </row>
    <row r="17" spans="1:47" s="372" customFormat="1" ht="14.4" customHeight="1" x14ac:dyDescent="0.4">
      <c r="B17" s="734" t="s">
        <v>385</v>
      </c>
      <c r="C17" s="930">
        <v>0.25</v>
      </c>
      <c r="D17" s="930">
        <v>0.25</v>
      </c>
      <c r="E17" s="930">
        <v>0.25</v>
      </c>
      <c r="F17" s="930">
        <v>0.25</v>
      </c>
      <c r="G17" s="829"/>
      <c r="H17" s="630"/>
      <c r="I17" s="630"/>
      <c r="J17" s="1134"/>
      <c r="K17" s="630"/>
      <c r="L17" s="630"/>
      <c r="M17" s="630"/>
    </row>
    <row r="18" spans="1:47" s="671" customFormat="1" x14ac:dyDescent="0.4">
      <c r="A18" s="372"/>
      <c r="B18" s="367"/>
      <c r="C18" s="605"/>
      <c r="D18" s="605"/>
      <c r="E18" s="605"/>
      <c r="F18" s="747"/>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row>
    <row r="19" spans="1:47" s="766" customFormat="1" x14ac:dyDescent="0.4">
      <c r="B19" s="224" t="s">
        <v>588</v>
      </c>
      <c r="C19" s="931">
        <v>0.57499999999999996</v>
      </c>
      <c r="F19" s="767"/>
    </row>
    <row r="20" spans="1:47" s="766" customFormat="1" x14ac:dyDescent="0.4">
      <c r="B20" s="224" t="s">
        <v>513</v>
      </c>
      <c r="C20" s="931">
        <v>20</v>
      </c>
      <c r="F20" s="767"/>
    </row>
    <row r="21" spans="1:47" s="372" customFormat="1" x14ac:dyDescent="0.4">
      <c r="B21" s="224" t="s">
        <v>626</v>
      </c>
      <c r="C21" s="1043" t="s">
        <v>456</v>
      </c>
      <c r="F21" s="672"/>
      <c r="G21" s="630"/>
    </row>
    <row r="22" spans="1:47" s="372" customFormat="1" x14ac:dyDescent="0.4">
      <c r="B22" s="224" t="s">
        <v>389</v>
      </c>
      <c r="C22" s="1043" t="s">
        <v>456</v>
      </c>
      <c r="F22" s="672"/>
      <c r="G22" s="630"/>
    </row>
    <row r="23" spans="1:47" s="372" customFormat="1" x14ac:dyDescent="0.4">
      <c r="B23" s="224" t="s">
        <v>390</v>
      </c>
      <c r="C23" s="932">
        <v>7000</v>
      </c>
      <c r="F23" s="672"/>
    </row>
    <row r="24" spans="1:47" ht="30" customHeight="1" thickBot="1" x14ac:dyDescent="0.45">
      <c r="B24" s="1"/>
      <c r="C24" s="31"/>
      <c r="D24" s="4"/>
      <c r="E24" s="4"/>
      <c r="F24" s="25"/>
    </row>
    <row r="25" spans="1:47" ht="31.2" customHeight="1" thickTop="1" x14ac:dyDescent="0.55000000000000004">
      <c r="C25" s="39" t="s">
        <v>459</v>
      </c>
      <c r="D25" s="5"/>
      <c r="E25" s="5"/>
      <c r="F25" s="40"/>
      <c r="G25" s="266"/>
      <c r="H25" s="266"/>
      <c r="I25" s="266"/>
    </row>
    <row r="26" spans="1:47" ht="13.2" customHeight="1" x14ac:dyDescent="0.4">
      <c r="C26" s="118"/>
      <c r="D26" s="289" t="s">
        <v>392</v>
      </c>
      <c r="E26" s="289" t="s">
        <v>393</v>
      </c>
      <c r="F26" s="290" t="s">
        <v>334</v>
      </c>
    </row>
    <row r="27" spans="1:47" ht="19.95" customHeight="1" x14ac:dyDescent="0.4">
      <c r="C27" s="265"/>
      <c r="D27" s="119"/>
      <c r="E27" s="119"/>
      <c r="F27" s="120"/>
    </row>
    <row r="28" spans="1:47" ht="22.95" customHeight="1" x14ac:dyDescent="0.4">
      <c r="C28" s="1042" t="s">
        <v>798</v>
      </c>
      <c r="D28" s="42"/>
      <c r="E28" s="42"/>
      <c r="F28" s="43"/>
    </row>
    <row r="29" spans="1:47" x14ac:dyDescent="0.4">
      <c r="C29" s="33" t="s">
        <v>799</v>
      </c>
      <c r="D29" s="10">
        <v>31836</v>
      </c>
      <c r="E29" s="10"/>
      <c r="F29" s="26"/>
      <c r="G29" s="19"/>
    </row>
    <row r="30" spans="1:47" x14ac:dyDescent="0.4">
      <c r="C30" s="44" t="s">
        <v>800</v>
      </c>
      <c r="D30" s="10">
        <f>(5100+648)*D14</f>
        <v>45984</v>
      </c>
      <c r="E30" s="98"/>
      <c r="F30" s="45" t="s">
        <v>801</v>
      </c>
      <c r="G30" s="19"/>
    </row>
    <row r="31" spans="1:47" x14ac:dyDescent="0.4">
      <c r="C31" s="46" t="s">
        <v>802</v>
      </c>
      <c r="D31" s="10">
        <f>(5100+648+800)*C14</f>
        <v>6548</v>
      </c>
      <c r="E31" s="98"/>
      <c r="F31" s="45" t="s">
        <v>803</v>
      </c>
      <c r="G31" s="19"/>
    </row>
    <row r="32" spans="1:47" x14ac:dyDescent="0.4">
      <c r="C32" s="46" t="s">
        <v>804</v>
      </c>
      <c r="D32" s="10">
        <f>603*1</f>
        <v>603</v>
      </c>
      <c r="E32" s="98"/>
      <c r="F32" s="45" t="s">
        <v>805</v>
      </c>
      <c r="G32" s="19"/>
    </row>
    <row r="33" spans="3:7" x14ac:dyDescent="0.4">
      <c r="C33" s="46" t="s">
        <v>806</v>
      </c>
      <c r="D33" s="10">
        <f>(1800*(C14+D14+F14))+(C14+D14+F14)*1500</f>
        <v>33000</v>
      </c>
      <c r="E33" s="98"/>
      <c r="F33" s="45"/>
      <c r="G33" s="19"/>
    </row>
    <row r="34" spans="3:7" x14ac:dyDescent="0.4">
      <c r="C34" s="46" t="s">
        <v>807</v>
      </c>
      <c r="D34" s="10">
        <f>600*(C14+D14)</f>
        <v>5400</v>
      </c>
      <c r="E34" s="98">
        <f>70*(C14+D14)</f>
        <v>630</v>
      </c>
      <c r="F34" s="45" t="s">
        <v>808</v>
      </c>
      <c r="G34" s="19"/>
    </row>
    <row r="35" spans="3:7" x14ac:dyDescent="0.4">
      <c r="C35" s="46" t="s">
        <v>809</v>
      </c>
      <c r="D35" s="370">
        <f>973.25*D14</f>
        <v>7786</v>
      </c>
      <c r="E35" s="98"/>
      <c r="F35" s="45" t="s">
        <v>810</v>
      </c>
      <c r="G35" s="19"/>
    </row>
    <row r="36" spans="3:7" x14ac:dyDescent="0.4">
      <c r="C36" s="46" t="s">
        <v>811</v>
      </c>
      <c r="D36" s="10"/>
      <c r="E36" s="98">
        <f>ROUND((D30+D31+D33+D34)/8,-2)</f>
        <v>11400</v>
      </c>
      <c r="F36" s="45"/>
      <c r="G36" s="19"/>
    </row>
    <row r="37" spans="3:7" x14ac:dyDescent="0.4">
      <c r="C37" s="46" t="s">
        <v>812</v>
      </c>
      <c r="D37" s="10">
        <f>(600*D14)</f>
        <v>4800</v>
      </c>
      <c r="E37" s="98"/>
      <c r="F37" s="45"/>
      <c r="G37" s="19"/>
    </row>
    <row r="38" spans="3:7" x14ac:dyDescent="0.4">
      <c r="C38" s="46" t="s">
        <v>813</v>
      </c>
      <c r="D38" s="10">
        <f>(2000*(C14+D14+F14+E14))</f>
        <v>22000</v>
      </c>
      <c r="E38" s="98"/>
      <c r="F38" s="45" t="s">
        <v>814</v>
      </c>
      <c r="G38" s="1041"/>
    </row>
    <row r="39" spans="3:7" ht="22.95" customHeight="1" x14ac:dyDescent="0.4">
      <c r="C39" s="1042" t="s">
        <v>815</v>
      </c>
      <c r="D39" s="10"/>
      <c r="E39" s="98"/>
      <c r="F39" s="45"/>
      <c r="G39" s="1041"/>
    </row>
    <row r="40" spans="3:7" x14ac:dyDescent="0.4">
      <c r="C40" s="33" t="s">
        <v>816</v>
      </c>
      <c r="D40" s="10">
        <f>24624*C6</f>
        <v>24624</v>
      </c>
      <c r="E40" s="98">
        <f>25668*C6</f>
        <v>25668</v>
      </c>
      <c r="F40" s="45"/>
      <c r="G40" s="19"/>
    </row>
    <row r="41" spans="3:7" x14ac:dyDescent="0.4">
      <c r="C41" s="33" t="s">
        <v>817</v>
      </c>
      <c r="D41" s="10">
        <f>440*D14</f>
        <v>3520</v>
      </c>
      <c r="E41" s="1040">
        <f>(D41*1.03)/2</f>
        <v>1812.8</v>
      </c>
      <c r="F41" s="45"/>
      <c r="G41" s="19"/>
    </row>
    <row r="42" spans="3:7" x14ac:dyDescent="0.4">
      <c r="C42" s="33" t="s">
        <v>818</v>
      </c>
      <c r="D42" s="10">
        <f>55*25*D14</f>
        <v>11000</v>
      </c>
      <c r="E42" s="98">
        <f>D42*1.03</f>
        <v>11330</v>
      </c>
      <c r="F42" s="45"/>
      <c r="G42" s="19"/>
    </row>
    <row r="43" spans="3:7" x14ac:dyDescent="0.4">
      <c r="C43" s="33" t="s">
        <v>819</v>
      </c>
      <c r="D43" s="10">
        <f>(25*D14)*71</f>
        <v>14200</v>
      </c>
      <c r="E43" s="98">
        <f>D43*1.03</f>
        <v>14626</v>
      </c>
      <c r="F43" s="45"/>
      <c r="G43" s="19"/>
    </row>
    <row r="44" spans="3:7" x14ac:dyDescent="0.4">
      <c r="C44" s="33" t="s">
        <v>820</v>
      </c>
      <c r="D44" s="10">
        <v>2000</v>
      </c>
      <c r="E44" s="98">
        <f>D44*1.03</f>
        <v>2060</v>
      </c>
      <c r="F44" s="45"/>
      <c r="G44" s="266"/>
    </row>
    <row r="45" spans="3:7" x14ac:dyDescent="0.4">
      <c r="C45" s="33" t="s">
        <v>821</v>
      </c>
      <c r="D45" s="10">
        <f>390*(C14+D14)</f>
        <v>3510</v>
      </c>
      <c r="E45" s="98">
        <f>D45*1.03</f>
        <v>3615.3</v>
      </c>
      <c r="F45" s="45"/>
      <c r="G45" s="266"/>
    </row>
    <row r="46" spans="3:7" x14ac:dyDescent="0.4">
      <c r="C46" s="33" t="s">
        <v>822</v>
      </c>
      <c r="D46" s="10">
        <f>(D14*25)*6</f>
        <v>1200</v>
      </c>
      <c r="E46" s="10">
        <f>((4*25)*6)*1.03</f>
        <v>618</v>
      </c>
      <c r="F46" s="45"/>
      <c r="G46" s="266"/>
    </row>
    <row r="47" spans="3:7" x14ac:dyDescent="0.4">
      <c r="C47" s="33" t="s">
        <v>823</v>
      </c>
      <c r="D47" s="10">
        <f>(750*(C14+D14+E14+F14))</f>
        <v>8250</v>
      </c>
      <c r="E47" s="10">
        <f>(750*(C14+D14+E14+F14))*1.03</f>
        <v>8497.5</v>
      </c>
      <c r="F47" s="45"/>
      <c r="G47" s="266"/>
    </row>
    <row r="48" spans="3:7" x14ac:dyDescent="0.4">
      <c r="C48" s="33" t="s">
        <v>824</v>
      </c>
      <c r="D48" s="10">
        <f>D14*600</f>
        <v>4800</v>
      </c>
      <c r="E48" s="98">
        <f>D48*1.03</f>
        <v>4944</v>
      </c>
      <c r="F48" s="45"/>
      <c r="G48" s="266"/>
    </row>
    <row r="49" spans="3:7" x14ac:dyDescent="0.4">
      <c r="C49" s="1039" t="s">
        <v>825</v>
      </c>
      <c r="D49" s="10">
        <f>500*C6</f>
        <v>500</v>
      </c>
      <c r="E49" s="98">
        <f>D49*1.03</f>
        <v>515</v>
      </c>
      <c r="F49" s="45"/>
      <c r="G49" s="266"/>
    </row>
    <row r="50" spans="3:7" x14ac:dyDescent="0.4">
      <c r="C50" s="33"/>
      <c r="D50" s="10"/>
      <c r="E50" s="98"/>
      <c r="F50" s="45"/>
    </row>
    <row r="51" spans="3:7" x14ac:dyDescent="0.4">
      <c r="C51" s="47" t="s">
        <v>409</v>
      </c>
      <c r="D51" s="12">
        <f>SUM(D29:D50)</f>
        <v>231561</v>
      </c>
      <c r="E51" s="12">
        <f>SUM(E29:E50)</f>
        <v>85716.6</v>
      </c>
      <c r="F51" s="48"/>
    </row>
    <row r="52" spans="3:7" x14ac:dyDescent="0.4">
      <c r="C52" s="121"/>
      <c r="D52" s="9"/>
      <c r="E52" s="9"/>
      <c r="F52" s="27"/>
    </row>
    <row r="53" spans="3:7" ht="19.95" customHeight="1" x14ac:dyDescent="0.4">
      <c r="C53" s="265"/>
      <c r="D53" s="49"/>
      <c r="E53" s="49"/>
      <c r="F53" s="50"/>
    </row>
    <row r="54" spans="3:7" ht="22.2" customHeight="1" x14ac:dyDescent="0.4">
      <c r="C54" s="32" t="s">
        <v>412</v>
      </c>
      <c r="D54" s="9"/>
      <c r="E54" s="9"/>
      <c r="F54" s="26"/>
    </row>
    <row r="55" spans="3:7" x14ac:dyDescent="0.4">
      <c r="C55" s="33" t="s">
        <v>792</v>
      </c>
      <c r="D55" s="10">
        <f>C14*C15*C16</f>
        <v>75000</v>
      </c>
      <c r="E55" s="10">
        <f>(C14*C15*C16)*1.03</f>
        <v>77250</v>
      </c>
      <c r="F55" s="26" t="s">
        <v>826</v>
      </c>
    </row>
    <row r="56" spans="3:7" x14ac:dyDescent="0.4">
      <c r="C56" s="33" t="s">
        <v>793</v>
      </c>
      <c r="D56" s="10">
        <f>D14*D15*D16</f>
        <v>520000</v>
      </c>
      <c r="E56" s="10">
        <f>(D14*D15*D16)*1.03</f>
        <v>535600</v>
      </c>
      <c r="F56" s="26" t="s">
        <v>826</v>
      </c>
    </row>
    <row r="57" spans="3:7" x14ac:dyDescent="0.4">
      <c r="C57" s="33" t="s">
        <v>827</v>
      </c>
      <c r="D57" s="10">
        <f>E14*E15*E16</f>
        <v>36000</v>
      </c>
      <c r="E57" s="10">
        <f>(E14*E15*E16)*1.03</f>
        <v>37080</v>
      </c>
      <c r="F57" s="26" t="s">
        <v>826</v>
      </c>
    </row>
    <row r="58" spans="3:7" x14ac:dyDescent="0.4">
      <c r="C58" s="854" t="s">
        <v>795</v>
      </c>
      <c r="D58" s="241">
        <f>F14*F15*F16</f>
        <v>9500</v>
      </c>
      <c r="E58" s="241">
        <f>(F14*F15*F16)*1.03</f>
        <v>9785</v>
      </c>
      <c r="F58" s="26" t="s">
        <v>826</v>
      </c>
    </row>
    <row r="59" spans="3:7" x14ac:dyDescent="0.4">
      <c r="C59" s="854" t="s">
        <v>415</v>
      </c>
      <c r="D59" s="1038">
        <f>(D55*C17)+(D56*D17)+(D57*E17)+(D58*F17)</f>
        <v>160125</v>
      </c>
      <c r="E59" s="1038">
        <f>(E55*C17)+(E56*D17)+(E57*E17)+(E58*F17)</f>
        <v>164928.75</v>
      </c>
      <c r="F59" s="214"/>
    </row>
    <row r="60" spans="3:7" ht="22.2" customHeight="1" x14ac:dyDescent="0.4">
      <c r="C60" s="32" t="s">
        <v>416</v>
      </c>
      <c r="D60" s="10"/>
      <c r="E60" s="10"/>
      <c r="F60" s="29"/>
    </row>
    <row r="61" spans="3:7" x14ac:dyDescent="0.4">
      <c r="C61" s="33" t="s">
        <v>828</v>
      </c>
      <c r="D61" s="10">
        <f>12*C20*C19*C8</f>
        <v>18436.8</v>
      </c>
      <c r="E61" s="10">
        <f>12*C20*C19*C10</f>
        <v>27600</v>
      </c>
      <c r="F61" s="29"/>
      <c r="G61" s="19"/>
    </row>
    <row r="62" spans="3:7" x14ac:dyDescent="0.4">
      <c r="C62" s="854" t="s">
        <v>423</v>
      </c>
      <c r="D62" s="10">
        <f>C23*C5</f>
        <v>7000</v>
      </c>
      <c r="E62" s="10">
        <f>C23*C5</f>
        <v>7000</v>
      </c>
      <c r="F62" s="29"/>
    </row>
    <row r="63" spans="3:7" x14ac:dyDescent="0.4">
      <c r="C63" s="93"/>
      <c r="D63" s="10"/>
      <c r="E63" s="10"/>
      <c r="F63" s="29"/>
    </row>
    <row r="64" spans="3:7" x14ac:dyDescent="0.4">
      <c r="C64" s="54" t="s">
        <v>409</v>
      </c>
      <c r="D64" s="16">
        <f>SUM(D55:D63)</f>
        <v>826061.8</v>
      </c>
      <c r="E64" s="16">
        <f>SUM(E55:E63)</f>
        <v>859243.75</v>
      </c>
      <c r="F64" s="55"/>
    </row>
    <row r="65" spans="3:7" x14ac:dyDescent="0.4">
      <c r="C65" s="56"/>
      <c r="D65" s="9"/>
      <c r="E65" s="9"/>
      <c r="F65" s="57"/>
    </row>
    <row r="66" spans="3:7" x14ac:dyDescent="0.4">
      <c r="C66" s="58" t="s">
        <v>424</v>
      </c>
      <c r="D66" s="16">
        <f>D51+D64</f>
        <v>1057622.8</v>
      </c>
      <c r="E66" s="16">
        <f>E51+E64</f>
        <v>944960.35</v>
      </c>
      <c r="F66" s="55"/>
    </row>
    <row r="67" spans="3:7" x14ac:dyDescent="0.4">
      <c r="C67" s="59"/>
      <c r="D67" s="17"/>
      <c r="E67" s="17"/>
      <c r="F67" s="57"/>
    </row>
    <row r="68" spans="3:7" ht="19.95" customHeight="1" x14ac:dyDescent="0.4">
      <c r="C68" s="265" t="s">
        <v>425</v>
      </c>
      <c r="D68" s="49"/>
      <c r="E68" s="49"/>
      <c r="F68" s="50"/>
    </row>
    <row r="69" spans="3:7" x14ac:dyDescent="0.4">
      <c r="C69" s="32" t="s">
        <v>426</v>
      </c>
      <c r="D69" s="9"/>
      <c r="E69" s="9"/>
      <c r="F69" s="27"/>
    </row>
    <row r="70" spans="3:7" ht="27.6" x14ac:dyDescent="0.4">
      <c r="C70" s="291" t="s">
        <v>829</v>
      </c>
      <c r="D70" s="10">
        <f>(D66*0.1)-D62</f>
        <v>98762.280000000013</v>
      </c>
      <c r="E70" s="209">
        <f>(E66*0.1)-E62</f>
        <v>87496.035000000003</v>
      </c>
      <c r="F70" s="89" t="s">
        <v>428</v>
      </c>
    </row>
    <row r="71" spans="3:7" x14ac:dyDescent="0.4">
      <c r="C71" s="60"/>
      <c r="D71" s="6"/>
      <c r="E71" s="6"/>
      <c r="F71" s="29"/>
    </row>
    <row r="72" spans="3:7" x14ac:dyDescent="0.4">
      <c r="C72" s="58" t="s">
        <v>429</v>
      </c>
      <c r="D72" s="16">
        <f>D70</f>
        <v>98762.280000000013</v>
      </c>
      <c r="E72" s="16">
        <f>E70</f>
        <v>87496.035000000003</v>
      </c>
      <c r="F72" s="55"/>
    </row>
    <row r="73" spans="3:7" x14ac:dyDescent="0.4">
      <c r="C73" s="59"/>
      <c r="D73" s="17"/>
      <c r="E73" s="17"/>
      <c r="F73" s="57"/>
    </row>
    <row r="74" spans="3:7" ht="17.399999999999999" thickBot="1" x14ac:dyDescent="0.45">
      <c r="C74" s="59"/>
      <c r="D74" s="17"/>
      <c r="E74" s="17"/>
      <c r="F74" s="57"/>
    </row>
    <row r="75" spans="3:7" ht="32.4" customHeight="1" thickTop="1" x14ac:dyDescent="0.4">
      <c r="C75" s="35" t="s">
        <v>430</v>
      </c>
      <c r="D75" s="20">
        <f>D66+D72</f>
        <v>1156385.08</v>
      </c>
      <c r="E75" s="20">
        <f>E66+E72</f>
        <v>1032456.385</v>
      </c>
      <c r="F75" s="30"/>
    </row>
    <row r="76" spans="3:7" ht="32.4" customHeight="1" x14ac:dyDescent="0.4">
      <c r="C76" s="61" t="s">
        <v>477</v>
      </c>
      <c r="D76" s="24">
        <f>D75/C8</f>
        <v>8655.5769461077853</v>
      </c>
      <c r="E76" s="24">
        <f>E75/C10</f>
        <v>5162.2819250000002</v>
      </c>
      <c r="F76" s="62"/>
      <c r="G76" s="256"/>
    </row>
    <row r="77" spans="3:7" x14ac:dyDescent="0.4">
      <c r="C77" s="118"/>
      <c r="F77" s="1037"/>
    </row>
    <row r="78" spans="3:7" x14ac:dyDescent="0.4">
      <c r="C78" s="1036" t="s">
        <v>784</v>
      </c>
      <c r="G78" s="201"/>
    </row>
    <row r="79" spans="3:7" x14ac:dyDescent="0.4">
      <c r="C79" s="886" t="s">
        <v>830</v>
      </c>
      <c r="G79" s="201"/>
    </row>
    <row r="80" spans="3:7" x14ac:dyDescent="0.4">
      <c r="C80" s="886" t="s">
        <v>831</v>
      </c>
      <c r="G80" s="201"/>
    </row>
    <row r="81" spans="2:7" ht="22.2" customHeight="1" x14ac:dyDescent="0.4">
      <c r="C81" s="1503" t="s">
        <v>832</v>
      </c>
      <c r="D81" s="1376"/>
      <c r="E81" s="1376"/>
      <c r="G81" s="201"/>
    </row>
    <row r="82" spans="2:7" x14ac:dyDescent="0.4">
      <c r="C82" s="118"/>
      <c r="F82" s="122"/>
    </row>
    <row r="83" spans="2:7" x14ac:dyDescent="0.4">
      <c r="C83" s="1358" t="s">
        <v>439</v>
      </c>
      <c r="D83" s="1359"/>
      <c r="E83" s="1359"/>
      <c r="F83" s="1378"/>
    </row>
    <row r="84" spans="2:7" ht="16.95" customHeight="1" x14ac:dyDescent="0.4">
      <c r="B84"/>
      <c r="C84" s="1360" t="s">
        <v>440</v>
      </c>
      <c r="D84" s="1361"/>
      <c r="E84" s="1361"/>
      <c r="F84" s="1362"/>
    </row>
    <row r="85" spans="2:7" x14ac:dyDescent="0.4">
      <c r="C85" s="1363"/>
      <c r="D85" s="1502"/>
      <c r="E85" s="1502"/>
      <c r="F85" s="1365"/>
    </row>
    <row r="86" spans="2:7" x14ac:dyDescent="0.4">
      <c r="C86" s="1363"/>
      <c r="D86" s="1502"/>
      <c r="E86" s="1502"/>
      <c r="F86" s="1368"/>
    </row>
    <row r="87" spans="2:7" x14ac:dyDescent="0.4">
      <c r="C87" s="1492" t="s">
        <v>833</v>
      </c>
      <c r="D87" s="1493"/>
      <c r="E87" s="1493"/>
      <c r="F87" s="1055"/>
    </row>
    <row r="88" spans="2:7" x14ac:dyDescent="0.4">
      <c r="C88" s="1494" t="s">
        <v>834</v>
      </c>
      <c r="D88" s="1495"/>
      <c r="E88" s="1495"/>
      <c r="F88" s="1053"/>
    </row>
    <row r="89" spans="2:7" x14ac:dyDescent="0.4">
      <c r="C89" s="1494" t="s">
        <v>835</v>
      </c>
      <c r="D89" s="1495"/>
      <c r="E89" s="1495"/>
      <c r="F89" s="1053"/>
    </row>
    <row r="90" spans="2:7" x14ac:dyDescent="0.4">
      <c r="C90" s="465" t="s">
        <v>836</v>
      </c>
      <c r="D90" s="1056"/>
      <c r="E90" s="1057"/>
      <c r="F90" s="281"/>
    </row>
    <row r="91" spans="2:7" s="279" customFormat="1" ht="20.399999999999999" x14ac:dyDescent="0.45">
      <c r="C91" s="1496" t="s">
        <v>837</v>
      </c>
      <c r="D91" s="1497"/>
      <c r="E91" s="1497"/>
      <c r="F91" s="1054"/>
    </row>
  </sheetData>
  <mergeCells count="10">
    <mergeCell ref="C3:F3"/>
    <mergeCell ref="C1:F1"/>
    <mergeCell ref="D8:D9"/>
    <mergeCell ref="C84:F86"/>
    <mergeCell ref="C81:E81"/>
    <mergeCell ref="C87:E87"/>
    <mergeCell ref="C88:E88"/>
    <mergeCell ref="C89:E89"/>
    <mergeCell ref="C91:E91"/>
    <mergeCell ref="C83:F83"/>
  </mergeCells>
  <hyperlinks>
    <hyperlink ref="C79" r:id="rId1" xr:uid="{F446E240-33A4-42A9-947E-54CC80B9D197}"/>
    <hyperlink ref="C80" r:id="rId2" xr:uid="{C859FB63-5D26-4DDC-B47F-139616333EBE}"/>
    <hyperlink ref="C91:E91" r:id="rId3" display="Click here for more on WSIPP's MST Benefit-Cost Analysis" xr:uid="{9F94EE23-8773-4D8C-81BF-0B4BAFE11FBD}"/>
  </hyperlinks>
  <pageMargins left="0.25" right="0.25" top="0.75" bottom="0.75" header="0.3" footer="0.3"/>
  <pageSetup scale="64" orientation="portrait" r:id="rId4"/>
  <rowBreaks count="1" manualBreakCount="1">
    <brk id="67" max="4" man="1"/>
  </rowBreaks>
  <colBreaks count="1" manualBreakCount="1">
    <brk id="6" max="1048575" man="1"/>
  </colBreaks>
  <drawing r:id="rId5"/>
  <legacyDrawing r:id="rId6"/>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767ED-FE90-4EFD-B5A5-10868C42B404}">
  <dimension ref="A1:H70"/>
  <sheetViews>
    <sheetView zoomScaleNormal="100" workbookViewId="0">
      <selection activeCell="F12" sqref="F12"/>
    </sheetView>
  </sheetViews>
  <sheetFormatPr defaultColWidth="9" defaultRowHeight="16.8" x14ac:dyDescent="0.4"/>
  <cols>
    <col min="1" max="1" width="2.3984375" style="18" customWidth="1"/>
    <col min="2" max="2" width="38" style="19" customWidth="1"/>
    <col min="3" max="3" width="36.19921875" style="18" customWidth="1"/>
    <col min="4" max="4" width="33.59765625" style="18" customWidth="1"/>
    <col min="5" max="5" width="32.19921875" style="18" customWidth="1"/>
    <col min="6" max="6" width="22" style="18" customWidth="1"/>
    <col min="7" max="16384" width="9" style="18"/>
  </cols>
  <sheetData>
    <row r="1" spans="2:8" ht="90" customHeight="1" x14ac:dyDescent="0.6">
      <c r="B1" s="911" t="s">
        <v>368</v>
      </c>
      <c r="C1" s="912" t="s">
        <v>838</v>
      </c>
      <c r="D1" s="913"/>
      <c r="E1" s="914"/>
      <c r="F1" s="275"/>
      <c r="G1" s="275"/>
      <c r="H1" s="275"/>
    </row>
    <row r="2" spans="2:8" ht="19.2" customHeight="1" x14ac:dyDescent="0.6">
      <c r="B2" s="330"/>
      <c r="C2" s="329"/>
      <c r="D2" s="329"/>
      <c r="E2" s="330"/>
      <c r="F2" s="275"/>
      <c r="G2" s="275"/>
      <c r="H2" s="275"/>
    </row>
    <row r="3" spans="2:8" ht="61.95" customHeight="1" x14ac:dyDescent="0.4">
      <c r="C3" s="1371" t="s">
        <v>370</v>
      </c>
      <c r="D3" s="1372"/>
      <c r="E3" s="1373"/>
    </row>
    <row r="4" spans="2:8" x14ac:dyDescent="0.4">
      <c r="B4" s="366"/>
      <c r="C4" s="266"/>
      <c r="E4" s="122"/>
    </row>
    <row r="5" spans="2:8" s="372" customFormat="1" ht="15" customHeight="1" x14ac:dyDescent="0.4">
      <c r="B5" s="367" t="s">
        <v>839</v>
      </c>
      <c r="C5" s="961">
        <v>1</v>
      </c>
      <c r="D5" s="512"/>
      <c r="E5" s="1509"/>
      <c r="F5" s="512"/>
    </row>
    <row r="6" spans="2:8" s="372" customFormat="1" ht="15" customHeight="1" x14ac:dyDescent="0.4">
      <c r="B6" s="367" t="s">
        <v>447</v>
      </c>
      <c r="C6" s="962">
        <v>3</v>
      </c>
      <c r="E6" s="1509"/>
    </row>
    <row r="7" spans="2:8" s="372" customFormat="1" ht="15" customHeight="1" x14ac:dyDescent="0.4">
      <c r="B7" s="367" t="s">
        <v>750</v>
      </c>
      <c r="C7" s="730">
        <f>63*C6</f>
        <v>189</v>
      </c>
      <c r="E7" s="1509"/>
    </row>
    <row r="8" spans="2:8" s="372" customFormat="1" ht="15" customHeight="1" x14ac:dyDescent="0.4">
      <c r="B8" s="367" t="s">
        <v>840</v>
      </c>
      <c r="C8" s="731">
        <v>18</v>
      </c>
      <c r="E8" s="619"/>
    </row>
    <row r="9" spans="2:8" s="372" customFormat="1" ht="15" customHeight="1" x14ac:dyDescent="0.4">
      <c r="B9" s="367" t="s">
        <v>841</v>
      </c>
      <c r="C9" s="732">
        <f>C13+D13</f>
        <v>15</v>
      </c>
      <c r="E9" s="619"/>
    </row>
    <row r="10" spans="2:8" s="372" customFormat="1" ht="25.2" customHeight="1" x14ac:dyDescent="0.4">
      <c r="B10" s="367"/>
      <c r="C10" s="1508"/>
      <c r="D10" s="1508"/>
      <c r="E10" s="619"/>
    </row>
    <row r="11" spans="2:8" s="372" customFormat="1" ht="15.6" customHeight="1" x14ac:dyDescent="0.4">
      <c r="B11" s="733"/>
      <c r="C11" s="1145" t="s">
        <v>512</v>
      </c>
      <c r="D11" s="1145" t="s">
        <v>842</v>
      </c>
      <c r="E11" s="599"/>
    </row>
    <row r="12" spans="2:8" s="372" customFormat="1" ht="15" customHeight="1" x14ac:dyDescent="0.4">
      <c r="B12" s="734" t="s">
        <v>843</v>
      </c>
      <c r="C12" s="735">
        <v>1</v>
      </c>
      <c r="D12" s="74">
        <v>4</v>
      </c>
      <c r="E12" s="599"/>
    </row>
    <row r="13" spans="2:8" s="372" customFormat="1" ht="15" customHeight="1" x14ac:dyDescent="0.4">
      <c r="B13" s="367" t="s">
        <v>382</v>
      </c>
      <c r="C13" s="735">
        <f>C6*C12</f>
        <v>3</v>
      </c>
      <c r="D13" s="74">
        <f>D12*C6</f>
        <v>12</v>
      </c>
      <c r="E13" s="599"/>
    </row>
    <row r="14" spans="2:8" s="372" customFormat="1" ht="15" customHeight="1" x14ac:dyDescent="0.4">
      <c r="B14" s="367" t="s">
        <v>383</v>
      </c>
      <c r="C14" s="963">
        <v>52000</v>
      </c>
      <c r="D14" s="955">
        <v>45000</v>
      </c>
      <c r="E14" s="599"/>
    </row>
    <row r="15" spans="2:8" s="372" customFormat="1" ht="15" customHeight="1" x14ac:dyDescent="0.4">
      <c r="B15" s="367" t="s">
        <v>384</v>
      </c>
      <c r="C15" s="1136">
        <v>1</v>
      </c>
      <c r="D15" s="964">
        <v>1</v>
      </c>
      <c r="E15" s="599"/>
    </row>
    <row r="16" spans="2:8" s="372" customFormat="1" ht="15" customHeight="1" x14ac:dyDescent="0.4">
      <c r="B16" s="367" t="s">
        <v>385</v>
      </c>
      <c r="C16" s="930">
        <v>0.25</v>
      </c>
      <c r="D16" s="605"/>
      <c r="E16" s="736"/>
    </row>
    <row r="17" spans="2:6" s="372" customFormat="1" ht="15" customHeight="1" x14ac:dyDescent="0.4">
      <c r="B17" s="367"/>
      <c r="C17" s="605"/>
      <c r="D17" s="605"/>
      <c r="E17" s="736"/>
    </row>
    <row r="18" spans="2:6" s="372" customFormat="1" ht="15" customHeight="1" x14ac:dyDescent="0.4">
      <c r="B18" s="367"/>
      <c r="C18" s="605"/>
      <c r="D18" s="605"/>
      <c r="E18" s="736"/>
    </row>
    <row r="19" spans="2:6" s="372" customFormat="1" ht="15" customHeight="1" x14ac:dyDescent="0.4">
      <c r="B19" s="367" t="s">
        <v>451</v>
      </c>
      <c r="C19" s="965">
        <v>0.57499999999999996</v>
      </c>
      <c r="D19" s="605"/>
      <c r="E19" s="736"/>
    </row>
    <row r="20" spans="2:6" s="372" customFormat="1" ht="15" customHeight="1" x14ac:dyDescent="0.4">
      <c r="B20" s="367" t="s">
        <v>452</v>
      </c>
      <c r="C20" s="966">
        <v>1000</v>
      </c>
      <c r="D20" s="605"/>
      <c r="E20" s="736"/>
    </row>
    <row r="21" spans="2:6" s="372" customFormat="1" x14ac:dyDescent="0.4">
      <c r="B21" s="224" t="s">
        <v>626</v>
      </c>
      <c r="C21" s="920" t="s">
        <v>456</v>
      </c>
      <c r="D21" s="605"/>
      <c r="E21" s="605"/>
      <c r="F21" s="736"/>
    </row>
    <row r="22" spans="2:6" s="372" customFormat="1" x14ac:dyDescent="0.4">
      <c r="B22" s="224" t="s">
        <v>627</v>
      </c>
      <c r="C22" s="920" t="s">
        <v>456</v>
      </c>
      <c r="D22" s="605"/>
      <c r="E22" s="605"/>
      <c r="F22" s="736"/>
    </row>
    <row r="23" spans="2:6" s="372" customFormat="1" x14ac:dyDescent="0.4">
      <c r="B23" s="224" t="s">
        <v>628</v>
      </c>
      <c r="C23" s="920" t="s">
        <v>456</v>
      </c>
      <c r="D23" s="605"/>
      <c r="E23" s="605"/>
      <c r="F23" s="736"/>
    </row>
    <row r="24" spans="2:6" s="372" customFormat="1" ht="29.4" customHeight="1" thickBot="1" x14ac:dyDescent="0.45">
      <c r="B24" s="737"/>
      <c r="C24" s="75"/>
      <c r="D24" s="75"/>
      <c r="E24" s="204"/>
    </row>
    <row r="25" spans="2:6" ht="25.2" thickTop="1" x14ac:dyDescent="0.55000000000000004">
      <c r="B25" s="122"/>
      <c r="C25" s="5" t="s">
        <v>844</v>
      </c>
      <c r="D25" s="5"/>
      <c r="E25" s="205"/>
    </row>
    <row r="26" spans="2:6" x14ac:dyDescent="0.4">
      <c r="B26" s="122"/>
      <c r="D26" s="289" t="s">
        <v>392</v>
      </c>
      <c r="E26" s="290" t="s">
        <v>334</v>
      </c>
    </row>
    <row r="27" spans="2:6" ht="19.95" customHeight="1" x14ac:dyDescent="0.4">
      <c r="B27" s="122"/>
      <c r="C27" s="494" t="s">
        <v>632</v>
      </c>
      <c r="D27" s="119"/>
      <c r="E27" s="120"/>
    </row>
    <row r="28" spans="2:6" ht="19.2" x14ac:dyDescent="0.45">
      <c r="B28" s="122"/>
      <c r="C28" s="357"/>
      <c r="D28" s="76"/>
      <c r="E28" s="270"/>
    </row>
    <row r="29" spans="2:6" x14ac:dyDescent="0.4">
      <c r="B29" s="122"/>
      <c r="C29" s="358" t="s">
        <v>845</v>
      </c>
      <c r="D29" s="10">
        <f>50000*C5</f>
        <v>50000</v>
      </c>
      <c r="E29" s="315" t="s">
        <v>846</v>
      </c>
      <c r="F29" s="266"/>
    </row>
    <row r="30" spans="2:6" ht="14.4" customHeight="1" x14ac:dyDescent="0.4">
      <c r="B30" s="122"/>
      <c r="C30" s="358" t="s">
        <v>847</v>
      </c>
      <c r="D30" s="10">
        <f>2000*C6</f>
        <v>6000</v>
      </c>
      <c r="E30" s="315" t="s">
        <v>848</v>
      </c>
      <c r="F30" s="19"/>
    </row>
    <row r="31" spans="2:6" ht="14.4" customHeight="1" x14ac:dyDescent="0.4">
      <c r="B31" s="122"/>
      <c r="C31" s="358" t="s">
        <v>849</v>
      </c>
      <c r="D31" s="10">
        <f>22500*C6</f>
        <v>67500</v>
      </c>
      <c r="E31" s="315" t="s">
        <v>850</v>
      </c>
      <c r="F31" s="19"/>
    </row>
    <row r="32" spans="2:6" x14ac:dyDescent="0.4">
      <c r="B32" s="122"/>
      <c r="C32" s="79"/>
      <c r="D32" s="10"/>
      <c r="E32" s="273"/>
    </row>
    <row r="33" spans="2:6" x14ac:dyDescent="0.4">
      <c r="B33" s="122"/>
      <c r="C33" s="359" t="s">
        <v>409</v>
      </c>
      <c r="D33" s="77">
        <f>SUM(D29:D32)</f>
        <v>123500</v>
      </c>
      <c r="E33" s="272"/>
    </row>
    <row r="34" spans="2:6" x14ac:dyDescent="0.4">
      <c r="B34" s="122"/>
      <c r="C34" s="76"/>
      <c r="D34" s="13"/>
      <c r="E34" s="90"/>
    </row>
    <row r="35" spans="2:6" ht="19.95" customHeight="1" x14ac:dyDescent="0.4">
      <c r="B35" s="122"/>
      <c r="C35" s="494" t="s">
        <v>650</v>
      </c>
      <c r="D35" s="119"/>
      <c r="E35" s="120"/>
    </row>
    <row r="36" spans="2:6" x14ac:dyDescent="0.4">
      <c r="B36" s="122"/>
      <c r="C36" s="356" t="s">
        <v>412</v>
      </c>
      <c r="D36" s="9"/>
      <c r="E36" s="316"/>
    </row>
    <row r="37" spans="2:6" x14ac:dyDescent="0.4">
      <c r="B37" s="122"/>
      <c r="C37" s="358" t="s">
        <v>414</v>
      </c>
      <c r="D37" s="10">
        <f>C14*C13*C15</f>
        <v>156000</v>
      </c>
      <c r="E37" s="317"/>
    </row>
    <row r="38" spans="2:6" x14ac:dyDescent="0.4">
      <c r="B38" s="122"/>
      <c r="C38" s="358" t="s">
        <v>413</v>
      </c>
      <c r="D38" s="10">
        <f>D14*D13*D15</f>
        <v>540000</v>
      </c>
      <c r="E38" s="317"/>
    </row>
    <row r="39" spans="2:6" x14ac:dyDescent="0.4">
      <c r="B39" s="368"/>
      <c r="C39" s="358" t="s">
        <v>851</v>
      </c>
      <c r="D39" s="10">
        <f>25000*C6</f>
        <v>75000</v>
      </c>
      <c r="E39" s="270" t="s">
        <v>852</v>
      </c>
      <c r="F39" s="271"/>
    </row>
    <row r="40" spans="2:6" x14ac:dyDescent="0.4">
      <c r="B40" s="122"/>
      <c r="C40" s="358" t="s">
        <v>853</v>
      </c>
      <c r="D40" s="10">
        <f>(C6*20000)+(C6*12500)+IF(C6&gt;0,15000)</f>
        <v>112500</v>
      </c>
      <c r="E40" s="270"/>
      <c r="F40" s="266"/>
    </row>
    <row r="41" spans="2:6" x14ac:dyDescent="0.4">
      <c r="B41" s="122"/>
      <c r="C41" s="358" t="s">
        <v>854</v>
      </c>
      <c r="D41" s="10">
        <f>(D40+D39+D38+D37)*0.1</f>
        <v>88350</v>
      </c>
      <c r="E41" s="270" t="s">
        <v>855</v>
      </c>
      <c r="F41" s="266"/>
    </row>
    <row r="42" spans="2:6" x14ac:dyDescent="0.4">
      <c r="B42" s="122"/>
      <c r="C42" s="358" t="s">
        <v>415</v>
      </c>
      <c r="D42" s="10">
        <f>(C13*C14*C15*C16)+(D13*D14*D15*C16)</f>
        <v>174000</v>
      </c>
      <c r="E42" s="270"/>
    </row>
    <row r="43" spans="2:6" x14ac:dyDescent="0.4">
      <c r="B43" s="122"/>
      <c r="C43" s="79"/>
      <c r="D43" s="78"/>
      <c r="E43" s="90"/>
    </row>
    <row r="44" spans="2:6" x14ac:dyDescent="0.4">
      <c r="B44" s="122"/>
      <c r="C44" s="360" t="s">
        <v>409</v>
      </c>
      <c r="D44" s="16">
        <f>SUM(D37:D43)</f>
        <v>1145850</v>
      </c>
      <c r="E44" s="318"/>
    </row>
    <row r="45" spans="2:6" x14ac:dyDescent="0.4">
      <c r="B45" s="122"/>
      <c r="C45" s="361"/>
      <c r="D45" s="17"/>
      <c r="E45" s="319"/>
    </row>
    <row r="46" spans="2:6" x14ac:dyDescent="0.4">
      <c r="B46" s="122"/>
      <c r="C46" s="356" t="s">
        <v>416</v>
      </c>
      <c r="D46" s="15"/>
      <c r="E46" s="316"/>
    </row>
    <row r="47" spans="2:6" x14ac:dyDescent="0.4">
      <c r="B47" s="122"/>
      <c r="C47" s="358" t="s">
        <v>536</v>
      </c>
      <c r="D47" s="10">
        <f>(C20*C19*12)*C6*6</f>
        <v>124200</v>
      </c>
      <c r="E47" s="317"/>
      <c r="F47" s="266"/>
    </row>
    <row r="48" spans="2:6" x14ac:dyDescent="0.4">
      <c r="B48" s="122"/>
      <c r="C48" s="358" t="s">
        <v>856</v>
      </c>
      <c r="D48" s="10">
        <f>20000*C6</f>
        <v>60000</v>
      </c>
      <c r="E48" s="320"/>
      <c r="F48" s="267"/>
    </row>
    <row r="49" spans="2:6" x14ac:dyDescent="0.4">
      <c r="B49" s="122"/>
      <c r="C49" s="358" t="s">
        <v>857</v>
      </c>
      <c r="D49" s="10">
        <f>20000*C6</f>
        <v>60000</v>
      </c>
      <c r="E49" s="320"/>
      <c r="F49" s="19"/>
    </row>
    <row r="50" spans="2:6" x14ac:dyDescent="0.4">
      <c r="B50" s="122"/>
      <c r="C50" s="358" t="s">
        <v>858</v>
      </c>
      <c r="D50" s="10">
        <f>C7*200</f>
        <v>37800</v>
      </c>
      <c r="E50" s="320"/>
      <c r="F50" s="266"/>
    </row>
    <row r="51" spans="2:6" x14ac:dyDescent="0.4">
      <c r="B51" s="122"/>
      <c r="E51" s="321"/>
    </row>
    <row r="52" spans="2:6" x14ac:dyDescent="0.4">
      <c r="B52" s="122"/>
      <c r="C52" s="360" t="s">
        <v>409</v>
      </c>
      <c r="D52" s="16">
        <f>SUM(D47:D51)</f>
        <v>282000</v>
      </c>
      <c r="E52" s="318"/>
    </row>
    <row r="53" spans="2:6" x14ac:dyDescent="0.4">
      <c r="B53" s="122"/>
      <c r="C53" s="361"/>
      <c r="D53" s="9"/>
      <c r="E53" s="321"/>
    </row>
    <row r="54" spans="2:6" x14ac:dyDescent="0.4">
      <c r="B54" s="122"/>
      <c r="C54" s="362" t="s">
        <v>424</v>
      </c>
      <c r="D54" s="16">
        <f>D33+D52+D44</f>
        <v>1551350</v>
      </c>
      <c r="E54" s="322"/>
    </row>
    <row r="55" spans="2:6" x14ac:dyDescent="0.4">
      <c r="B55" s="122"/>
      <c r="C55" s="363"/>
      <c r="D55" s="17"/>
      <c r="E55" s="323"/>
    </row>
    <row r="56" spans="2:6" ht="19.95" customHeight="1" x14ac:dyDescent="0.4">
      <c r="B56" s="122"/>
      <c r="C56" s="494" t="s">
        <v>425</v>
      </c>
      <c r="D56" s="49"/>
      <c r="E56" s="324"/>
    </row>
    <row r="57" spans="2:6" x14ac:dyDescent="0.4">
      <c r="B57" s="122"/>
      <c r="C57" s="356" t="s">
        <v>426</v>
      </c>
      <c r="D57" s="9"/>
      <c r="E57" s="325"/>
    </row>
    <row r="58" spans="2:6" ht="40.799999999999997" x14ac:dyDescent="0.4">
      <c r="B58" s="122"/>
      <c r="C58" s="291" t="s">
        <v>427</v>
      </c>
      <c r="D58" s="10">
        <f>(D54*0.1)-D49</f>
        <v>95135</v>
      </c>
      <c r="E58" s="355" t="s">
        <v>859</v>
      </c>
    </row>
    <row r="59" spans="2:6" x14ac:dyDescent="0.4">
      <c r="B59" s="122"/>
      <c r="C59" s="79"/>
      <c r="D59" s="78"/>
      <c r="E59" s="208"/>
    </row>
    <row r="60" spans="2:6" x14ac:dyDescent="0.4">
      <c r="B60" s="122"/>
      <c r="C60" s="362" t="s">
        <v>429</v>
      </c>
      <c r="D60" s="16">
        <f>SUM(D58:D59)</f>
        <v>95135</v>
      </c>
      <c r="E60" s="55"/>
    </row>
    <row r="61" spans="2:6" x14ac:dyDescent="0.4">
      <c r="B61" s="122"/>
      <c r="C61" s="363"/>
      <c r="D61" s="17"/>
      <c r="E61" s="57"/>
    </row>
    <row r="62" spans="2:6" ht="17.399999999999999" thickBot="1" x14ac:dyDescent="0.45">
      <c r="B62" s="122"/>
      <c r="C62" s="363"/>
      <c r="D62" s="17"/>
      <c r="E62" s="57"/>
    </row>
    <row r="63" spans="2:6" ht="17.399999999999999" thickTop="1" x14ac:dyDescent="0.4">
      <c r="B63" s="122"/>
      <c r="C63" s="364" t="s">
        <v>430</v>
      </c>
      <c r="D63" s="20">
        <f>D54+D60</f>
        <v>1646485</v>
      </c>
      <c r="E63" s="30"/>
    </row>
    <row r="64" spans="2:6" x14ac:dyDescent="0.4">
      <c r="B64" s="122"/>
      <c r="C64" s="365" t="s">
        <v>860</v>
      </c>
      <c r="D64" s="24">
        <f>D63/C7</f>
        <v>8711.5608465608457</v>
      </c>
      <c r="E64" s="206"/>
    </row>
    <row r="65" spans="1:6" x14ac:dyDescent="0.4">
      <c r="B65" s="122"/>
      <c r="E65" s="122"/>
    </row>
    <row r="66" spans="1:6" ht="88.95" customHeight="1" x14ac:dyDescent="0.4">
      <c r="B66" s="122"/>
      <c r="C66" s="1506" t="s">
        <v>861</v>
      </c>
      <c r="D66" s="1507"/>
      <c r="E66" s="1507"/>
      <c r="F66" s="328"/>
    </row>
    <row r="67" spans="1:6" x14ac:dyDescent="0.4">
      <c r="B67" s="122"/>
      <c r="E67" s="122"/>
    </row>
    <row r="68" spans="1:6" x14ac:dyDescent="0.4">
      <c r="B68" s="122"/>
      <c r="C68" s="1504" t="s">
        <v>862</v>
      </c>
      <c r="D68" s="1505"/>
      <c r="E68" s="1505"/>
    </row>
    <row r="69" spans="1:6" x14ac:dyDescent="0.4">
      <c r="B69" s="122"/>
      <c r="C69" s="1504"/>
      <c r="D69" s="1505"/>
      <c r="E69" s="1505"/>
    </row>
    <row r="70" spans="1:6" x14ac:dyDescent="0.4">
      <c r="A70" s="269"/>
      <c r="B70" s="369"/>
      <c r="C70" s="269"/>
      <c r="D70" s="269"/>
      <c r="E70" s="268"/>
    </row>
  </sheetData>
  <mergeCells count="5">
    <mergeCell ref="C68:E69"/>
    <mergeCell ref="C66:E66"/>
    <mergeCell ref="C10:D10"/>
    <mergeCell ref="E5:E7"/>
    <mergeCell ref="C3:E3"/>
  </mergeCells>
  <pageMargins left="0.25" right="0.25" top="0.75" bottom="0.75" header="0.3" footer="0.3"/>
  <pageSetup scale="71" orientation="portrait" r:id="rId1"/>
  <colBreaks count="1" manualBreakCount="1">
    <brk id="5" max="1048575"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J97"/>
  <sheetViews>
    <sheetView zoomScale="90" zoomScaleNormal="90" workbookViewId="0">
      <selection activeCell="I27" sqref="I27"/>
    </sheetView>
  </sheetViews>
  <sheetFormatPr defaultColWidth="9" defaultRowHeight="16.8" x14ac:dyDescent="0.4"/>
  <cols>
    <col min="1" max="1" width="2.3984375" style="18" customWidth="1"/>
    <col min="2" max="2" width="36.3984375" style="18" customWidth="1"/>
    <col min="3" max="3" width="38.19921875" style="18" customWidth="1"/>
    <col min="4" max="5" width="30" style="18" customWidth="1"/>
    <col min="6" max="6" width="37.69921875" style="18" customWidth="1"/>
    <col min="7" max="7" width="13.3984375" style="18" customWidth="1"/>
    <col min="8" max="16384" width="9" style="18"/>
  </cols>
  <sheetData>
    <row r="1" spans="2:8" ht="84" customHeight="1" x14ac:dyDescent="0.4">
      <c r="B1" s="911" t="s">
        <v>368</v>
      </c>
      <c r="C1" s="1301" t="s">
        <v>863</v>
      </c>
      <c r="D1" s="1301"/>
      <c r="E1" s="1301"/>
      <c r="F1" s="1301"/>
    </row>
    <row r="2" spans="2:8" ht="20.399999999999999" x14ac:dyDescent="0.45">
      <c r="C2" s="127" t="s">
        <v>864</v>
      </c>
      <c r="F2" s="122"/>
      <c r="H2" s="128"/>
    </row>
    <row r="3" spans="2:8" x14ac:dyDescent="0.4">
      <c r="C3" s="127"/>
      <c r="F3" s="122"/>
      <c r="H3" s="128"/>
    </row>
    <row r="4" spans="2:8" ht="46.95" customHeight="1" x14ac:dyDescent="0.4">
      <c r="C4" s="1498" t="s">
        <v>370</v>
      </c>
      <c r="D4" s="1499"/>
      <c r="E4" s="1499"/>
      <c r="F4" s="1500"/>
      <c r="H4" s="128"/>
    </row>
    <row r="5" spans="2:8" ht="14.4" customHeight="1" x14ac:dyDescent="0.4">
      <c r="C5" s="286"/>
      <c r="D5" s="287"/>
      <c r="E5" s="287"/>
      <c r="F5" s="1535"/>
      <c r="H5" s="128"/>
    </row>
    <row r="6" spans="2:8" s="372" customFormat="1" ht="14.4" customHeight="1" x14ac:dyDescent="0.4">
      <c r="B6" s="224" t="s">
        <v>786</v>
      </c>
      <c r="C6" s="927">
        <v>1</v>
      </c>
      <c r="D6" s="742"/>
      <c r="E6" s="742"/>
      <c r="F6" s="1535"/>
      <c r="H6" s="128"/>
    </row>
    <row r="7" spans="2:8" s="372" customFormat="1" x14ac:dyDescent="0.4">
      <c r="B7" s="224" t="s">
        <v>449</v>
      </c>
      <c r="C7" s="927">
        <v>500</v>
      </c>
      <c r="F7" s="1535"/>
    </row>
    <row r="8" spans="2:8" s="372" customFormat="1" x14ac:dyDescent="0.4">
      <c r="B8" s="224" t="s">
        <v>621</v>
      </c>
      <c r="C8" s="819">
        <f>C11+D11+E11+F11</f>
        <v>32</v>
      </c>
      <c r="F8" s="1535"/>
    </row>
    <row r="9" spans="2:8" s="372" customFormat="1" x14ac:dyDescent="0.4">
      <c r="B9" s="627"/>
      <c r="C9" s="602"/>
      <c r="F9" s="599"/>
    </row>
    <row r="10" spans="2:8" s="372" customFormat="1" x14ac:dyDescent="0.4">
      <c r="B10" s="628"/>
      <c r="C10" s="743" t="s">
        <v>512</v>
      </c>
      <c r="D10" s="744" t="s">
        <v>668</v>
      </c>
      <c r="E10" s="744" t="s">
        <v>865</v>
      </c>
      <c r="F10" s="745" t="s">
        <v>866</v>
      </c>
    </row>
    <row r="11" spans="2:8" s="372" customFormat="1" x14ac:dyDescent="0.4">
      <c r="B11" s="224" t="s">
        <v>867</v>
      </c>
      <c r="C11" s="933">
        <v>3</v>
      </c>
      <c r="D11" s="958">
        <v>25</v>
      </c>
      <c r="E11" s="959">
        <v>3</v>
      </c>
      <c r="F11" s="934">
        <v>1</v>
      </c>
    </row>
    <row r="12" spans="2:8" s="372" customFormat="1" x14ac:dyDescent="0.4">
      <c r="B12" s="224" t="s">
        <v>383</v>
      </c>
      <c r="C12" s="935">
        <v>50000</v>
      </c>
      <c r="D12" s="955">
        <v>42000</v>
      </c>
      <c r="E12" s="955">
        <v>30000</v>
      </c>
      <c r="F12" s="929">
        <v>40000</v>
      </c>
    </row>
    <row r="13" spans="2:8" s="372" customFormat="1" x14ac:dyDescent="0.4">
      <c r="B13" s="224" t="s">
        <v>868</v>
      </c>
      <c r="C13" s="936">
        <v>0.05</v>
      </c>
      <c r="D13" s="960">
        <v>0.15</v>
      </c>
      <c r="E13" s="960">
        <v>0.05</v>
      </c>
      <c r="F13" s="937">
        <v>1</v>
      </c>
    </row>
    <row r="14" spans="2:8" s="372" customFormat="1" x14ac:dyDescent="0.4">
      <c r="B14" s="224" t="s">
        <v>385</v>
      </c>
      <c r="C14" s="930">
        <v>0.25</v>
      </c>
      <c r="D14" s="930">
        <v>0.25</v>
      </c>
      <c r="E14" s="930">
        <v>0.25</v>
      </c>
      <c r="F14" s="930">
        <v>0.25</v>
      </c>
    </row>
    <row r="15" spans="2:8" s="372" customFormat="1" x14ac:dyDescent="0.4">
      <c r="B15" s="224"/>
      <c r="C15" s="604"/>
      <c r="D15" s="605"/>
      <c r="E15" s="605"/>
      <c r="F15" s="736"/>
    </row>
    <row r="16" spans="2:8" s="372" customFormat="1" x14ac:dyDescent="0.4">
      <c r="B16" s="224" t="s">
        <v>626</v>
      </c>
      <c r="C16" s="938">
        <v>1</v>
      </c>
      <c r="D16" s="605"/>
      <c r="E16" s="605"/>
      <c r="F16" s="736"/>
    </row>
    <row r="17" spans="2:10" s="372" customFormat="1" x14ac:dyDescent="0.4">
      <c r="B17" s="224" t="s">
        <v>627</v>
      </c>
      <c r="C17" s="939">
        <v>1</v>
      </c>
      <c r="D17" s="605"/>
      <c r="E17" s="605"/>
      <c r="F17" s="736"/>
    </row>
    <row r="18" spans="2:10" s="372" customFormat="1" x14ac:dyDescent="0.4">
      <c r="B18" s="224" t="s">
        <v>628</v>
      </c>
      <c r="C18" s="938">
        <v>1</v>
      </c>
      <c r="D18" s="605"/>
      <c r="E18" s="605"/>
      <c r="F18" s="736"/>
    </row>
    <row r="19" spans="2:10" s="372" customFormat="1" ht="13.2" customHeight="1" thickBot="1" x14ac:dyDescent="0.45">
      <c r="B19" s="713"/>
      <c r="C19" s="714"/>
      <c r="D19" s="639"/>
      <c r="E19" s="639"/>
      <c r="F19" s="672"/>
      <c r="J19" s="129"/>
    </row>
    <row r="20" spans="2:10" ht="30" customHeight="1" thickTop="1" x14ac:dyDescent="0.55000000000000004">
      <c r="B20" s="1"/>
      <c r="C20" s="39" t="s">
        <v>629</v>
      </c>
      <c r="D20" s="130"/>
      <c r="E20" s="130"/>
      <c r="F20" s="40"/>
    </row>
    <row r="21" spans="2:10" ht="30" customHeight="1" x14ac:dyDescent="0.55000000000000004">
      <c r="B21" s="1"/>
      <c r="C21" s="116"/>
      <c r="D21" s="131"/>
      <c r="E21" s="131"/>
      <c r="F21" s="117"/>
    </row>
    <row r="22" spans="2:10" ht="30" customHeight="1" x14ac:dyDescent="0.55000000000000004">
      <c r="B22" s="1"/>
      <c r="C22" s="116"/>
      <c r="D22" s="131"/>
      <c r="E22" s="131"/>
      <c r="F22" s="117"/>
    </row>
    <row r="23" spans="2:10" ht="30" customHeight="1" x14ac:dyDescent="0.55000000000000004">
      <c r="B23" s="1"/>
      <c r="C23" s="116"/>
      <c r="D23" s="131"/>
      <c r="E23" s="131"/>
      <c r="F23" s="117"/>
    </row>
    <row r="24" spans="2:10" ht="30" customHeight="1" x14ac:dyDescent="0.55000000000000004">
      <c r="B24" s="1"/>
      <c r="C24" s="116"/>
      <c r="D24" s="131"/>
      <c r="E24" s="131"/>
      <c r="F24" s="117"/>
    </row>
    <row r="25" spans="2:10" ht="30" customHeight="1" x14ac:dyDescent="0.55000000000000004">
      <c r="B25" s="1"/>
      <c r="C25" s="116"/>
      <c r="D25" s="131"/>
      <c r="E25" s="131"/>
      <c r="F25" s="117"/>
    </row>
    <row r="26" spans="2:10" ht="30" customHeight="1" x14ac:dyDescent="0.55000000000000004">
      <c r="B26" s="1"/>
      <c r="C26" s="116"/>
      <c r="D26" s="131"/>
      <c r="E26" s="131"/>
      <c r="F26" s="117"/>
    </row>
    <row r="27" spans="2:10" ht="30" customHeight="1" x14ac:dyDescent="0.55000000000000004">
      <c r="B27" s="1"/>
      <c r="C27" s="116"/>
      <c r="D27" s="131"/>
      <c r="E27" s="131"/>
      <c r="F27" s="117"/>
    </row>
    <row r="28" spans="2:10" ht="30" customHeight="1" x14ac:dyDescent="0.55000000000000004">
      <c r="B28" s="1"/>
      <c r="C28" s="116"/>
      <c r="D28" s="131"/>
      <c r="E28" s="131"/>
      <c r="F28" s="117"/>
    </row>
    <row r="29" spans="2:10" s="372" customFormat="1" ht="17.399999999999999" thickBot="1" x14ac:dyDescent="0.45">
      <c r="B29" s="224" t="s">
        <v>869</v>
      </c>
      <c r="C29" s="1534">
        <f>2500</f>
        <v>2500</v>
      </c>
      <c r="D29" s="1534"/>
      <c r="E29" s="1534"/>
      <c r="F29" s="1534"/>
      <c r="G29" s="1510"/>
    </row>
    <row r="30" spans="2:10" ht="30" customHeight="1" thickTop="1" x14ac:dyDescent="0.45">
      <c r="B30" s="7"/>
      <c r="C30" s="1514" t="s">
        <v>870</v>
      </c>
      <c r="D30" s="1514"/>
      <c r="E30" s="1514"/>
      <c r="F30" s="1514"/>
      <c r="G30" s="1510"/>
    </row>
    <row r="31" spans="2:10" s="372" customFormat="1" x14ac:dyDescent="0.4">
      <c r="B31" s="224" t="s">
        <v>871</v>
      </c>
      <c r="C31" s="1515">
        <f>(C29/2)/30</f>
        <v>41.666666666666664</v>
      </c>
      <c r="D31" s="1515"/>
      <c r="E31" s="1515"/>
      <c r="F31" s="1515"/>
      <c r="G31" s="1510"/>
    </row>
    <row r="32" spans="2:10" s="372" customFormat="1" x14ac:dyDescent="0.4">
      <c r="B32" s="224" t="s">
        <v>872</v>
      </c>
      <c r="C32" s="1515">
        <f>C31+(C29/30)*2</f>
        <v>208.33333333333331</v>
      </c>
      <c r="D32" s="1515"/>
      <c r="E32" s="1515"/>
      <c r="F32" s="1515"/>
      <c r="G32" s="1510"/>
    </row>
    <row r="33" spans="2:7" s="372" customFormat="1" x14ac:dyDescent="0.4">
      <c r="B33" s="224" t="s">
        <v>873</v>
      </c>
      <c r="C33" s="1515">
        <f>C32+(C29/30)*2</f>
        <v>375</v>
      </c>
      <c r="D33" s="1515"/>
      <c r="E33" s="1515"/>
      <c r="F33" s="1515"/>
      <c r="G33" s="1510"/>
    </row>
    <row r="34" spans="2:7" s="372" customFormat="1" x14ac:dyDescent="0.4">
      <c r="B34" s="224" t="s">
        <v>874</v>
      </c>
      <c r="C34" s="1515">
        <f>C33+(C29/30)*2</f>
        <v>541.66666666666663</v>
      </c>
      <c r="D34" s="1515"/>
      <c r="E34" s="1515"/>
      <c r="F34" s="1515"/>
      <c r="G34" s="1510"/>
    </row>
    <row r="35" spans="2:7" s="372" customFormat="1" ht="30" customHeight="1" x14ac:dyDescent="0.4">
      <c r="B35" s="741"/>
      <c r="C35" s="1513" t="s">
        <v>875</v>
      </c>
      <c r="D35" s="1513"/>
      <c r="E35" s="1513"/>
      <c r="F35" s="1513"/>
      <c r="G35" s="1510"/>
    </row>
    <row r="36" spans="2:7" s="372" customFormat="1" x14ac:dyDescent="0.4">
      <c r="B36" s="224" t="s">
        <v>871</v>
      </c>
      <c r="C36" s="1515">
        <f>(C29/2)/40</f>
        <v>31.25</v>
      </c>
      <c r="D36" s="1515"/>
      <c r="E36" s="1515"/>
      <c r="F36" s="1515"/>
      <c r="G36" s="1510"/>
    </row>
    <row r="37" spans="2:7" s="372" customFormat="1" x14ac:dyDescent="0.4">
      <c r="B37" s="224" t="s">
        <v>872</v>
      </c>
      <c r="C37" s="1515">
        <f>C36+(C29/40)*2</f>
        <v>156.25</v>
      </c>
      <c r="D37" s="1515"/>
      <c r="E37" s="1515"/>
      <c r="F37" s="1515"/>
      <c r="G37" s="1510"/>
    </row>
    <row r="38" spans="2:7" s="372" customFormat="1" x14ac:dyDescent="0.4">
      <c r="B38" s="224" t="s">
        <v>873</v>
      </c>
      <c r="C38" s="1516">
        <f>C37+(C29/40)*2</f>
        <v>281.25</v>
      </c>
      <c r="D38" s="1516"/>
      <c r="E38" s="1516"/>
      <c r="F38" s="1516"/>
      <c r="G38" s="1510"/>
    </row>
    <row r="39" spans="2:7" s="372" customFormat="1" x14ac:dyDescent="0.4">
      <c r="B39" s="224" t="s">
        <v>874</v>
      </c>
      <c r="C39" s="1516">
        <f>C38+(C29/40)*2</f>
        <v>406.25</v>
      </c>
      <c r="D39" s="1516"/>
      <c r="E39" s="1516"/>
      <c r="F39" s="1516"/>
      <c r="G39" s="1510"/>
    </row>
    <row r="40" spans="2:7" ht="14.4" customHeight="1" x14ac:dyDescent="0.4">
      <c r="B40" s="7"/>
      <c r="C40" s="1498" t="s">
        <v>876</v>
      </c>
      <c r="D40" s="1499"/>
      <c r="E40" s="1499"/>
      <c r="F40" s="1500"/>
      <c r="G40" s="830"/>
    </row>
    <row r="41" spans="2:7" s="372" customFormat="1" ht="46.2" customHeight="1" x14ac:dyDescent="0.4">
      <c r="B41" s="224"/>
      <c r="C41" s="1517"/>
      <c r="D41" s="1518"/>
      <c r="E41" s="1518"/>
      <c r="F41" s="1519"/>
      <c r="G41" s="829"/>
    </row>
    <row r="42" spans="2:7" ht="31.2" customHeight="1" x14ac:dyDescent="0.55000000000000004">
      <c r="C42" s="410" t="s">
        <v>877</v>
      </c>
      <c r="D42" s="411"/>
      <c r="E42" s="411"/>
      <c r="F42" s="412"/>
    </row>
    <row r="43" spans="2:7" ht="13.2" customHeight="1" x14ac:dyDescent="0.4">
      <c r="C43" s="118"/>
      <c r="D43" s="289"/>
      <c r="E43" s="289"/>
      <c r="F43" s="290" t="s">
        <v>334</v>
      </c>
    </row>
    <row r="44" spans="2:7" ht="19.95" customHeight="1" x14ac:dyDescent="0.4">
      <c r="C44" s="265" t="s">
        <v>395</v>
      </c>
      <c r="D44" s="310"/>
      <c r="E44" s="310"/>
      <c r="F44" s="311"/>
    </row>
    <row r="45" spans="2:7" ht="22.95" customHeight="1" x14ac:dyDescent="0.4">
      <c r="C45" s="41" t="s">
        <v>878</v>
      </c>
      <c r="D45" s="825"/>
      <c r="E45" s="826"/>
      <c r="F45" s="133"/>
      <c r="G45" s="1511"/>
    </row>
    <row r="46" spans="2:7" ht="14.4" customHeight="1" x14ac:dyDescent="0.4">
      <c r="C46" s="33" t="s">
        <v>879</v>
      </c>
      <c r="D46" s="827">
        <f>C33*C11</f>
        <v>1125</v>
      </c>
      <c r="E46" s="828"/>
      <c r="F46" s="824"/>
      <c r="G46" s="1511"/>
    </row>
    <row r="47" spans="2:7" ht="14.4" customHeight="1" x14ac:dyDescent="0.4">
      <c r="C47" s="33" t="s">
        <v>880</v>
      </c>
      <c r="D47" s="827">
        <f>C32*D11</f>
        <v>5208.333333333333</v>
      </c>
      <c r="E47" s="828"/>
      <c r="F47" s="824"/>
      <c r="G47" s="1511"/>
    </row>
    <row r="48" spans="2:7" ht="14.4" customHeight="1" x14ac:dyDescent="0.4">
      <c r="C48" s="33" t="s">
        <v>881</v>
      </c>
      <c r="D48" s="827">
        <f>C31*E11</f>
        <v>125</v>
      </c>
      <c r="E48" s="828"/>
      <c r="F48" s="824"/>
      <c r="G48" s="1511"/>
    </row>
    <row r="49" spans="3:7" ht="14.4" customHeight="1" x14ac:dyDescent="0.4">
      <c r="C49" s="33" t="s">
        <v>866</v>
      </c>
      <c r="D49" s="827">
        <f>C34*F11</f>
        <v>541.66666666666663</v>
      </c>
      <c r="E49" s="828"/>
      <c r="F49" s="824"/>
      <c r="G49" s="1511"/>
    </row>
    <row r="50" spans="3:7" ht="22.95" customHeight="1" x14ac:dyDescent="0.4">
      <c r="C50" s="507" t="s">
        <v>882</v>
      </c>
      <c r="D50" s="409"/>
      <c r="E50" s="132"/>
      <c r="F50" s="824"/>
      <c r="G50" s="1511"/>
    </row>
    <row r="51" spans="3:7" ht="19.2" x14ac:dyDescent="0.4">
      <c r="C51" s="33" t="s">
        <v>883</v>
      </c>
      <c r="D51" s="114">
        <f>C38*C11</f>
        <v>843.75</v>
      </c>
      <c r="E51" s="114"/>
      <c r="F51" s="824"/>
      <c r="G51" s="1511"/>
    </row>
    <row r="52" spans="3:7" ht="19.2" x14ac:dyDescent="0.4">
      <c r="C52" s="33" t="s">
        <v>880</v>
      </c>
      <c r="D52" s="112">
        <f>C37*D11</f>
        <v>3906.25</v>
      </c>
      <c r="E52" s="112"/>
      <c r="F52" s="824"/>
      <c r="G52" s="1511"/>
    </row>
    <row r="53" spans="3:7" ht="19.2" x14ac:dyDescent="0.4">
      <c r="C53" s="33" t="s">
        <v>881</v>
      </c>
      <c r="D53" s="114">
        <f>C36*E11</f>
        <v>93.75</v>
      </c>
      <c r="E53" s="114"/>
      <c r="F53" s="824"/>
      <c r="G53" s="1511"/>
    </row>
    <row r="54" spans="3:7" ht="19.2" x14ac:dyDescent="0.4">
      <c r="C54" s="33" t="s">
        <v>866</v>
      </c>
      <c r="D54" s="114">
        <f>C39*F11</f>
        <v>406.25</v>
      </c>
      <c r="E54" s="114"/>
      <c r="F54" s="824"/>
    </row>
    <row r="55" spans="3:7" ht="19.2" x14ac:dyDescent="0.4">
      <c r="C55" s="135"/>
      <c r="D55" s="136"/>
      <c r="E55" s="136"/>
      <c r="F55" s="823"/>
      <c r="G55" s="1512"/>
    </row>
    <row r="56" spans="3:7" x14ac:dyDescent="0.4">
      <c r="C56" s="32" t="s">
        <v>416</v>
      </c>
      <c r="D56" s="15"/>
      <c r="E56" s="14"/>
      <c r="F56" s="28"/>
      <c r="G56" s="1512"/>
    </row>
    <row r="57" spans="3:7" x14ac:dyDescent="0.4">
      <c r="C57" s="33" t="s">
        <v>884</v>
      </c>
      <c r="D57" s="114">
        <v>0</v>
      </c>
      <c r="E57" s="137"/>
      <c r="F57" s="134" t="s">
        <v>885</v>
      </c>
      <c r="G57" s="1512"/>
    </row>
    <row r="58" spans="3:7" x14ac:dyDescent="0.4">
      <c r="C58" s="221" t="s">
        <v>421</v>
      </c>
      <c r="D58" s="114">
        <f>C16*C6</f>
        <v>1</v>
      </c>
      <c r="E58" s="137"/>
      <c r="F58" s="134"/>
      <c r="G58" s="416"/>
    </row>
    <row r="59" spans="3:7" x14ac:dyDescent="0.4">
      <c r="C59" s="221" t="s">
        <v>422</v>
      </c>
      <c r="D59" s="114">
        <f>C17*C6</f>
        <v>1</v>
      </c>
      <c r="E59" s="137"/>
      <c r="F59" s="134"/>
      <c r="G59" s="416"/>
    </row>
    <row r="60" spans="3:7" x14ac:dyDescent="0.4">
      <c r="C60" s="222" t="s">
        <v>423</v>
      </c>
      <c r="D60" s="114">
        <f>C18*C6</f>
        <v>1</v>
      </c>
      <c r="E60" s="137"/>
      <c r="F60" s="134"/>
      <c r="G60" s="416"/>
    </row>
    <row r="61" spans="3:7" x14ac:dyDescent="0.4">
      <c r="C61" s="33"/>
      <c r="D61" s="114"/>
      <c r="E61" s="114"/>
      <c r="F61" s="26"/>
    </row>
    <row r="62" spans="3:7" x14ac:dyDescent="0.4">
      <c r="C62" s="47" t="s">
        <v>409</v>
      </c>
      <c r="D62" s="138">
        <f>SUM(D46:D61)</f>
        <v>12253</v>
      </c>
      <c r="E62" s="138"/>
      <c r="F62" s="48"/>
    </row>
    <row r="63" spans="3:7" x14ac:dyDescent="0.4">
      <c r="C63" s="121"/>
      <c r="D63" s="139"/>
      <c r="E63" s="139"/>
      <c r="F63" s="27"/>
    </row>
    <row r="64" spans="3:7" ht="19.95" customHeight="1" x14ac:dyDescent="0.4">
      <c r="C64" s="265" t="s">
        <v>410</v>
      </c>
      <c r="D64" s="140"/>
      <c r="E64" s="140"/>
      <c r="F64" s="50"/>
    </row>
    <row r="65" spans="3:6" x14ac:dyDescent="0.4">
      <c r="C65" s="32" t="s">
        <v>412</v>
      </c>
      <c r="D65" s="139"/>
      <c r="E65" s="139"/>
      <c r="F65" s="27"/>
    </row>
    <row r="66" spans="3:6" x14ac:dyDescent="0.4">
      <c r="C66" s="33" t="s">
        <v>413</v>
      </c>
      <c r="D66" s="114">
        <f>D11*D12*D13</f>
        <v>157500</v>
      </c>
      <c r="E66" s="114"/>
      <c r="F66" s="29"/>
    </row>
    <row r="67" spans="3:6" x14ac:dyDescent="0.4">
      <c r="C67" s="33" t="s">
        <v>414</v>
      </c>
      <c r="D67" s="114">
        <f>C11*C12*C13</f>
        <v>7500</v>
      </c>
      <c r="E67" s="114"/>
      <c r="F67" s="29"/>
    </row>
    <row r="68" spans="3:6" x14ac:dyDescent="0.4">
      <c r="C68" s="33" t="s">
        <v>886</v>
      </c>
      <c r="D68" s="114">
        <f>E11*E12*E13</f>
        <v>4500</v>
      </c>
      <c r="E68" s="114"/>
      <c r="F68" s="29"/>
    </row>
    <row r="69" spans="3:6" x14ac:dyDescent="0.4">
      <c r="C69" s="33" t="s">
        <v>887</v>
      </c>
      <c r="D69" s="114">
        <f>F11*F12*F13</f>
        <v>40000</v>
      </c>
      <c r="E69" s="114"/>
      <c r="F69" s="134" t="s">
        <v>888</v>
      </c>
    </row>
    <row r="70" spans="3:6" x14ac:dyDescent="0.4">
      <c r="C70" s="33" t="s">
        <v>415</v>
      </c>
      <c r="D70" s="114">
        <f>(D66*D14)+(D67*C14)+(D68*E14)+(D69*F14)</f>
        <v>52375</v>
      </c>
      <c r="E70" s="114"/>
      <c r="F70" s="29"/>
    </row>
    <row r="71" spans="3:6" x14ac:dyDescent="0.4">
      <c r="C71" s="54" t="s">
        <v>409</v>
      </c>
      <c r="D71" s="138">
        <f>SUM(D66:D70)</f>
        <v>261875</v>
      </c>
      <c r="E71" s="138"/>
      <c r="F71" s="55"/>
    </row>
    <row r="72" spans="3:6" x14ac:dyDescent="0.4">
      <c r="C72" s="56"/>
      <c r="D72" s="9"/>
      <c r="E72" s="9"/>
      <c r="F72" s="141"/>
    </row>
    <row r="73" spans="3:6" x14ac:dyDescent="0.4">
      <c r="C73" s="58" t="s">
        <v>424</v>
      </c>
      <c r="D73" s="16">
        <f>(D62+D71)</f>
        <v>274128</v>
      </c>
      <c r="E73" s="16"/>
      <c r="F73" s="55"/>
    </row>
    <row r="74" spans="3:6" x14ac:dyDescent="0.4">
      <c r="C74" s="59"/>
      <c r="D74" s="17"/>
      <c r="E74" s="17"/>
      <c r="F74" s="57"/>
    </row>
    <row r="75" spans="3:6" s="372" customFormat="1" ht="19.95" customHeight="1" x14ac:dyDescent="0.4">
      <c r="C75" s="265" t="s">
        <v>425</v>
      </c>
      <c r="D75" s="738"/>
      <c r="E75" s="739"/>
      <c r="F75" s="740"/>
    </row>
    <row r="76" spans="3:6" x14ac:dyDescent="0.4">
      <c r="C76" s="32" t="s">
        <v>426</v>
      </c>
      <c r="D76" s="9"/>
      <c r="E76" s="111"/>
      <c r="F76" s="27"/>
    </row>
    <row r="77" spans="3:6" ht="22.95" customHeight="1" x14ac:dyDescent="0.4">
      <c r="C77" s="291" t="s">
        <v>427</v>
      </c>
      <c r="D77" s="10">
        <f>(D73*0.1)-D60</f>
        <v>27411.800000000003</v>
      </c>
      <c r="E77" s="142"/>
      <c r="F77" s="89" t="s">
        <v>859</v>
      </c>
    </row>
    <row r="78" spans="3:6" x14ac:dyDescent="0.4">
      <c r="C78" s="93"/>
      <c r="D78" s="78"/>
      <c r="E78" s="111"/>
      <c r="F78" s="27"/>
    </row>
    <row r="79" spans="3:6" x14ac:dyDescent="0.4">
      <c r="C79" s="58" t="s">
        <v>429</v>
      </c>
      <c r="D79" s="16">
        <f>SUM(D77:D78)</f>
        <v>27411.800000000003</v>
      </c>
      <c r="E79" s="143"/>
      <c r="F79" s="55"/>
    </row>
    <row r="80" spans="3:6" x14ac:dyDescent="0.4">
      <c r="C80" s="59"/>
      <c r="D80" s="17"/>
      <c r="E80" s="17"/>
      <c r="F80" s="57"/>
    </row>
    <row r="81" spans="3:6" ht="17.399999999999999" thickBot="1" x14ac:dyDescent="0.45">
      <c r="C81" s="59"/>
      <c r="D81" s="17"/>
      <c r="E81" s="17"/>
      <c r="F81" s="57"/>
    </row>
    <row r="82" spans="3:6" ht="32.4" customHeight="1" thickTop="1" x14ac:dyDescent="0.4">
      <c r="C82" s="35" t="s">
        <v>430</v>
      </c>
      <c r="D82" s="20">
        <f>D73+D79</f>
        <v>301539.8</v>
      </c>
      <c r="E82" s="144"/>
      <c r="F82" s="30"/>
    </row>
    <row r="83" spans="3:6" ht="34.5" customHeight="1" thickBot="1" x14ac:dyDescent="0.45">
      <c r="C83" s="36" t="s">
        <v>477</v>
      </c>
      <c r="D83" s="21">
        <f>D82/C7</f>
        <v>603.07960000000003</v>
      </c>
      <c r="E83" s="145"/>
      <c r="F83" s="124"/>
    </row>
    <row r="84" spans="3:6" ht="17.399999999999999" thickTop="1" x14ac:dyDescent="0.4">
      <c r="C84" s="118"/>
      <c r="F84" s="122"/>
    </row>
    <row r="85" spans="3:6" ht="61.2" customHeight="1" x14ac:dyDescent="0.4">
      <c r="C85" s="1529" t="s">
        <v>889</v>
      </c>
      <c r="D85" s="1530"/>
      <c r="E85" s="1530"/>
      <c r="F85" s="1531"/>
    </row>
    <row r="86" spans="3:6" ht="19.2" customHeight="1" x14ac:dyDescent="0.4">
      <c r="C86" s="1153" t="s">
        <v>890</v>
      </c>
      <c r="D86" s="1139"/>
      <c r="E86" s="1139"/>
      <c r="F86" s="1154"/>
    </row>
    <row r="87" spans="3:6" ht="20.399999999999999" customHeight="1" x14ac:dyDescent="0.4">
      <c r="C87" s="781" t="s">
        <v>891</v>
      </c>
      <c r="D87" s="1139"/>
      <c r="E87" s="1139"/>
      <c r="F87" s="1154"/>
    </row>
    <row r="88" spans="3:6" ht="27" customHeight="1" x14ac:dyDescent="0.4">
      <c r="C88" s="1532" t="s">
        <v>892</v>
      </c>
      <c r="D88" s="1376"/>
      <c r="E88" s="1376"/>
      <c r="F88" s="1533"/>
    </row>
    <row r="89" spans="3:6" x14ac:dyDescent="0.4">
      <c r="C89" s="388" t="s">
        <v>439</v>
      </c>
      <c r="D89" s="383"/>
      <c r="E89" s="383"/>
      <c r="F89" s="384"/>
    </row>
    <row r="90" spans="3:6" x14ac:dyDescent="0.4">
      <c r="C90" s="1520" t="s">
        <v>440</v>
      </c>
      <c r="D90" s="1521"/>
      <c r="E90" s="1521"/>
      <c r="F90" s="1522"/>
    </row>
    <row r="91" spans="3:6" x14ac:dyDescent="0.4">
      <c r="C91" s="1523"/>
      <c r="D91" s="1524"/>
      <c r="E91" s="1524"/>
      <c r="F91" s="1525"/>
    </row>
    <row r="92" spans="3:6" x14ac:dyDescent="0.4">
      <c r="C92" s="1523"/>
      <c r="D92" s="1524"/>
      <c r="E92" s="1524"/>
      <c r="F92" s="1525"/>
    </row>
    <row r="93" spans="3:6" x14ac:dyDescent="0.4">
      <c r="C93" s="1437" t="s">
        <v>893</v>
      </c>
      <c r="D93" s="1526"/>
      <c r="E93" s="1526"/>
      <c r="F93" s="1527"/>
    </row>
    <row r="94" spans="3:6" x14ac:dyDescent="0.4">
      <c r="C94" s="385" t="s">
        <v>894</v>
      </c>
      <c r="D94" s="386"/>
      <c r="E94" s="386"/>
      <c r="F94" s="387"/>
    </row>
    <row r="95" spans="3:6" x14ac:dyDescent="0.4">
      <c r="C95" s="385" t="s">
        <v>895</v>
      </c>
      <c r="D95" s="386"/>
      <c r="E95" s="386"/>
      <c r="F95" s="387"/>
    </row>
    <row r="96" spans="3:6" x14ac:dyDescent="0.4">
      <c r="C96" s="1528" t="s">
        <v>896</v>
      </c>
      <c r="D96" s="1297"/>
      <c r="E96" s="386"/>
      <c r="F96" s="387"/>
    </row>
    <row r="97" spans="3:6" s="279" customFormat="1" ht="20.399999999999999" x14ac:dyDescent="0.45">
      <c r="C97" s="1346" t="s">
        <v>897</v>
      </c>
      <c r="D97" s="1347"/>
      <c r="E97" s="1347"/>
      <c r="F97" s="1348"/>
    </row>
  </sheetData>
  <mergeCells count="24">
    <mergeCell ref="C1:F1"/>
    <mergeCell ref="C88:F88"/>
    <mergeCell ref="C29:F29"/>
    <mergeCell ref="C39:F39"/>
    <mergeCell ref="C36:F36"/>
    <mergeCell ref="C37:F37"/>
    <mergeCell ref="F5:F8"/>
    <mergeCell ref="C4:F4"/>
    <mergeCell ref="C90:F92"/>
    <mergeCell ref="C93:F93"/>
    <mergeCell ref="C96:D96"/>
    <mergeCell ref="C97:F97"/>
    <mergeCell ref="C85:F85"/>
    <mergeCell ref="G29:G39"/>
    <mergeCell ref="G45:G53"/>
    <mergeCell ref="G55:G57"/>
    <mergeCell ref="C35:F35"/>
    <mergeCell ref="C30:F30"/>
    <mergeCell ref="C31:F31"/>
    <mergeCell ref="C32:F32"/>
    <mergeCell ref="C33:F33"/>
    <mergeCell ref="C34:F34"/>
    <mergeCell ref="C38:F38"/>
    <mergeCell ref="C40:F41"/>
  </mergeCells>
  <hyperlinks>
    <hyperlink ref="C97:F97" r:id="rId1" display="Click here for more on WSIPP's MI Benefit-Cost Analysis" xr:uid="{38263044-1D4E-4C2A-8357-3722A0D1015E}"/>
    <hyperlink ref="C87" r:id="rId2" xr:uid="{12E5418B-9B4C-488C-9B74-A07B05644910}"/>
  </hyperlinks>
  <pageMargins left="0.25" right="0.25" top="0.75" bottom="0.75" header="0.3" footer="0.3"/>
  <pageSetup scale="58" orientation="portrait" r:id="rId3"/>
  <rowBreaks count="1" manualBreakCount="1">
    <brk id="58" max="5" man="1"/>
  </rowBreaks>
  <colBreaks count="1" manualBreakCount="1">
    <brk id="6" max="1048575" man="1"/>
  </colBreaks>
  <drawing r:id="rId4"/>
  <legacyDrawing r:id="rId5"/>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V77"/>
  <sheetViews>
    <sheetView topLeftCell="B1" zoomScaleNormal="100" workbookViewId="0">
      <selection activeCell="H71" sqref="H71"/>
    </sheetView>
  </sheetViews>
  <sheetFormatPr defaultColWidth="9" defaultRowHeight="16.8" x14ac:dyDescent="0.4"/>
  <cols>
    <col min="1" max="1" width="2.3984375" style="18" customWidth="1"/>
    <col min="2" max="2" width="39.19921875" style="18" customWidth="1"/>
    <col min="3" max="3" width="41.59765625" style="18" customWidth="1"/>
    <col min="4" max="4" width="35.8984375" style="18" customWidth="1"/>
    <col min="5" max="5" width="39.3984375" style="18" customWidth="1"/>
    <col min="6" max="16384" width="9" style="18"/>
  </cols>
  <sheetData>
    <row r="1" spans="2:5" ht="78" customHeight="1" x14ac:dyDescent="0.4">
      <c r="B1" s="911" t="s">
        <v>368</v>
      </c>
      <c r="C1" s="1301" t="s">
        <v>898</v>
      </c>
      <c r="D1" s="1301"/>
      <c r="E1" s="1301"/>
    </row>
    <row r="2" spans="2:5" x14ac:dyDescent="0.4">
      <c r="C2" s="286"/>
      <c r="E2" s="122"/>
    </row>
    <row r="3" spans="2:5" ht="58.95" customHeight="1" x14ac:dyDescent="0.4">
      <c r="C3" s="1498" t="s">
        <v>370</v>
      </c>
      <c r="D3" s="1499"/>
      <c r="E3" s="516"/>
    </row>
    <row r="4" spans="2:5" x14ac:dyDescent="0.4">
      <c r="C4" s="118"/>
      <c r="E4" s="122"/>
    </row>
    <row r="5" spans="2:5" s="372" customFormat="1" x14ac:dyDescent="0.4">
      <c r="B5" s="224" t="s">
        <v>786</v>
      </c>
      <c r="C5" s="927">
        <v>1</v>
      </c>
      <c r="E5" s="599"/>
    </row>
    <row r="6" spans="2:5" s="372" customFormat="1" ht="16.95" customHeight="1" x14ac:dyDescent="0.4">
      <c r="B6" s="224" t="s">
        <v>447</v>
      </c>
      <c r="C6" s="954">
        <v>1</v>
      </c>
      <c r="E6" s="762"/>
    </row>
    <row r="7" spans="2:5" s="372" customFormat="1" x14ac:dyDescent="0.4">
      <c r="B7" s="224" t="s">
        <v>620</v>
      </c>
      <c r="C7" s="763">
        <f>16*3</f>
        <v>48</v>
      </c>
      <c r="D7" s="1501"/>
      <c r="E7" s="762"/>
    </row>
    <row r="8" spans="2:5" s="372" customFormat="1" x14ac:dyDescent="0.4">
      <c r="B8" s="224" t="s">
        <v>899</v>
      </c>
      <c r="C8" s="763">
        <f>C6*C7</f>
        <v>48</v>
      </c>
      <c r="D8" s="1501"/>
      <c r="E8" s="692"/>
    </row>
    <row r="9" spans="2:5" s="372" customFormat="1" x14ac:dyDescent="0.4">
      <c r="B9" s="224" t="s">
        <v>376</v>
      </c>
      <c r="C9" s="764">
        <f>C13+D13+E13</f>
        <v>5</v>
      </c>
      <c r="E9" s="694"/>
    </row>
    <row r="10" spans="2:5" s="372" customFormat="1" x14ac:dyDescent="0.4">
      <c r="B10" s="627"/>
      <c r="C10" s="602"/>
      <c r="E10" s="599"/>
    </row>
    <row r="11" spans="2:5" s="372" customFormat="1" x14ac:dyDescent="0.4">
      <c r="B11" s="628"/>
      <c r="C11" s="603" t="s">
        <v>512</v>
      </c>
      <c r="D11" s="1145" t="s">
        <v>380</v>
      </c>
      <c r="E11" s="667" t="s">
        <v>416</v>
      </c>
    </row>
    <row r="12" spans="2:5" s="372" customFormat="1" ht="16.95" customHeight="1" x14ac:dyDescent="0.4">
      <c r="B12" s="626" t="s">
        <v>843</v>
      </c>
      <c r="C12" s="596">
        <v>1</v>
      </c>
      <c r="D12" s="74">
        <v>4</v>
      </c>
      <c r="E12" s="956"/>
    </row>
    <row r="13" spans="2:5" s="372" customFormat="1" x14ac:dyDescent="0.4">
      <c r="B13" s="224" t="s">
        <v>382</v>
      </c>
      <c r="C13" s="596">
        <f>C12*$C$6</f>
        <v>1</v>
      </c>
      <c r="D13" s="74">
        <f>D12*C6</f>
        <v>4</v>
      </c>
      <c r="E13" s="956"/>
    </row>
    <row r="14" spans="2:5" s="372" customFormat="1" x14ac:dyDescent="0.4">
      <c r="B14" s="224" t="s">
        <v>383</v>
      </c>
      <c r="C14" s="935">
        <v>50000</v>
      </c>
      <c r="D14" s="955">
        <v>43000</v>
      </c>
      <c r="E14" s="929" t="s">
        <v>553</v>
      </c>
    </row>
    <row r="15" spans="2:5" s="372" customFormat="1" x14ac:dyDescent="0.4">
      <c r="B15" s="224" t="s">
        <v>384</v>
      </c>
      <c r="C15" s="921">
        <v>1</v>
      </c>
      <c r="D15" s="922">
        <v>1</v>
      </c>
      <c r="E15" s="929" t="s">
        <v>553</v>
      </c>
    </row>
    <row r="16" spans="2:5" s="372" customFormat="1" x14ac:dyDescent="0.4">
      <c r="B16" s="224" t="s">
        <v>385</v>
      </c>
      <c r="C16" s="930">
        <v>0.25</v>
      </c>
      <c r="D16" s="930">
        <v>0.25</v>
      </c>
      <c r="E16" s="929" t="s">
        <v>553</v>
      </c>
    </row>
    <row r="17" spans="1:48" s="671" customFormat="1" x14ac:dyDescent="0.4">
      <c r="A17" s="372"/>
      <c r="B17" s="668"/>
      <c r="C17" s="604"/>
      <c r="D17" s="605"/>
      <c r="E17" s="765"/>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row>
    <row r="18" spans="1:48" s="766" customFormat="1" x14ac:dyDescent="0.4">
      <c r="B18" s="224" t="s">
        <v>588</v>
      </c>
      <c r="C18" s="931">
        <v>0.57499999999999996</v>
      </c>
      <c r="E18" s="767"/>
    </row>
    <row r="19" spans="1:48" s="766" customFormat="1" x14ac:dyDescent="0.4">
      <c r="B19" s="224" t="s">
        <v>513</v>
      </c>
      <c r="C19" s="931">
        <v>400</v>
      </c>
      <c r="E19" s="767"/>
    </row>
    <row r="20" spans="1:48" s="372" customFormat="1" x14ac:dyDescent="0.4">
      <c r="B20" s="224" t="s">
        <v>388</v>
      </c>
      <c r="C20" s="932">
        <v>7000</v>
      </c>
      <c r="E20" s="672"/>
    </row>
    <row r="21" spans="1:48" s="372" customFormat="1" x14ac:dyDescent="0.4">
      <c r="B21" s="224" t="s">
        <v>389</v>
      </c>
      <c r="C21" s="932">
        <v>7000</v>
      </c>
      <c r="E21" s="672"/>
    </row>
    <row r="22" spans="1:48" s="372" customFormat="1" x14ac:dyDescent="0.4">
      <c r="B22" s="224" t="s">
        <v>390</v>
      </c>
      <c r="C22" s="932">
        <v>7000</v>
      </c>
      <c r="E22" s="672"/>
    </row>
    <row r="23" spans="1:48" ht="30" customHeight="1" thickBot="1" x14ac:dyDescent="0.45">
      <c r="B23" s="1"/>
      <c r="C23" s="31"/>
      <c r="D23" s="4"/>
      <c r="E23" s="25"/>
    </row>
    <row r="24" spans="1:48" ht="31.2" customHeight="1" thickTop="1" x14ac:dyDescent="0.55000000000000004">
      <c r="C24" s="39" t="s">
        <v>459</v>
      </c>
      <c r="D24" s="5"/>
      <c r="E24" s="40"/>
    </row>
    <row r="25" spans="1:48" ht="13.2" customHeight="1" x14ac:dyDescent="0.4">
      <c r="C25" s="118"/>
      <c r="D25" s="289" t="s">
        <v>392</v>
      </c>
      <c r="E25" s="290" t="s">
        <v>334</v>
      </c>
    </row>
    <row r="26" spans="1:48" ht="19.95" customHeight="1" x14ac:dyDescent="0.4">
      <c r="C26" s="265" t="s">
        <v>395</v>
      </c>
      <c r="D26" s="119"/>
      <c r="E26" s="120"/>
    </row>
    <row r="27" spans="1:48" ht="14.4" customHeight="1" x14ac:dyDescent="0.4">
      <c r="C27" s="41"/>
      <c r="D27" s="42"/>
      <c r="E27" s="43"/>
    </row>
    <row r="28" spans="1:48" x14ac:dyDescent="0.4">
      <c r="C28" s="33" t="s">
        <v>900</v>
      </c>
      <c r="D28" s="10">
        <f>10000+(2000*C6)</f>
        <v>12000</v>
      </c>
      <c r="E28" s="26" t="s">
        <v>901</v>
      </c>
      <c r="F28" s="19"/>
    </row>
    <row r="29" spans="1:48" x14ac:dyDescent="0.4">
      <c r="C29" s="44" t="s">
        <v>902</v>
      </c>
      <c r="D29" s="10">
        <f>4400*C5</f>
        <v>4400</v>
      </c>
      <c r="E29" s="45" t="s">
        <v>903</v>
      </c>
    </row>
    <row r="30" spans="1:48" x14ac:dyDescent="0.4">
      <c r="C30" s="46" t="s">
        <v>904</v>
      </c>
      <c r="D30" s="10">
        <f>25000*C6</f>
        <v>25000</v>
      </c>
      <c r="E30" s="45" t="s">
        <v>905</v>
      </c>
      <c r="F30" s="19"/>
    </row>
    <row r="31" spans="1:48" x14ac:dyDescent="0.4">
      <c r="C31" s="46" t="s">
        <v>906</v>
      </c>
      <c r="D31" s="10">
        <f>2750*C6</f>
        <v>2750</v>
      </c>
      <c r="E31" s="45"/>
    </row>
    <row r="32" spans="1:48" x14ac:dyDescent="0.4">
      <c r="C32" s="46" t="s">
        <v>907</v>
      </c>
      <c r="D32" s="10">
        <f>5000*C6</f>
        <v>5000</v>
      </c>
      <c r="E32" s="45" t="s">
        <v>908</v>
      </c>
      <c r="F32" s="19"/>
    </row>
    <row r="33" spans="3:6" x14ac:dyDescent="0.4">
      <c r="C33" s="46" t="s">
        <v>909</v>
      </c>
      <c r="D33" s="10">
        <f>100*C8</f>
        <v>4800</v>
      </c>
      <c r="E33" s="45" t="s">
        <v>910</v>
      </c>
      <c r="F33" s="19"/>
    </row>
    <row r="34" spans="3:6" x14ac:dyDescent="0.4">
      <c r="C34" s="46" t="s">
        <v>911</v>
      </c>
      <c r="D34" s="10">
        <f>1500*D13</f>
        <v>6000</v>
      </c>
      <c r="E34" s="45" t="s">
        <v>912</v>
      </c>
      <c r="F34" s="19"/>
    </row>
    <row r="35" spans="3:6" x14ac:dyDescent="0.4">
      <c r="C35" s="33"/>
      <c r="D35" s="10"/>
      <c r="E35" s="45"/>
    </row>
    <row r="36" spans="3:6" x14ac:dyDescent="0.4">
      <c r="C36" s="47" t="s">
        <v>409</v>
      </c>
      <c r="D36" s="12">
        <f>SUM(D28:D35)</f>
        <v>59950</v>
      </c>
      <c r="E36" s="48"/>
    </row>
    <row r="37" spans="3:6" x14ac:dyDescent="0.4">
      <c r="C37" s="121"/>
      <c r="D37" s="9"/>
      <c r="E37" s="27"/>
    </row>
    <row r="38" spans="3:6" ht="19.95" customHeight="1" x14ac:dyDescent="0.4">
      <c r="C38" s="265" t="s">
        <v>410</v>
      </c>
      <c r="D38" s="49"/>
      <c r="E38" s="50"/>
    </row>
    <row r="39" spans="3:6" x14ac:dyDescent="0.4">
      <c r="C39" s="51"/>
      <c r="D39" s="13"/>
      <c r="E39" s="26"/>
    </row>
    <row r="40" spans="3:6" x14ac:dyDescent="0.4">
      <c r="C40" s="32" t="s">
        <v>412</v>
      </c>
      <c r="D40" s="9"/>
      <c r="E40" s="26"/>
    </row>
    <row r="41" spans="3:6" x14ac:dyDescent="0.4">
      <c r="C41" s="33" t="s">
        <v>414</v>
      </c>
      <c r="D41" s="10">
        <f>C14*C13*C15</f>
        <v>50000</v>
      </c>
      <c r="E41" s="26"/>
    </row>
    <row r="42" spans="3:6" x14ac:dyDescent="0.4">
      <c r="C42" s="33" t="s">
        <v>413</v>
      </c>
      <c r="D42" s="10">
        <f>D14*D13*D15</f>
        <v>172000</v>
      </c>
      <c r="E42" s="26"/>
    </row>
    <row r="43" spans="3:6" x14ac:dyDescent="0.4">
      <c r="C43" s="33" t="s">
        <v>572</v>
      </c>
      <c r="D43" s="10">
        <v>0</v>
      </c>
      <c r="E43" s="27"/>
    </row>
    <row r="44" spans="3:6" x14ac:dyDescent="0.4">
      <c r="C44" s="52" t="s">
        <v>415</v>
      </c>
      <c r="D44" s="11">
        <f>(D42*C16)+(D41*D16)</f>
        <v>55500</v>
      </c>
      <c r="E44" s="53"/>
    </row>
    <row r="45" spans="3:6" x14ac:dyDescent="0.4">
      <c r="C45" s="34"/>
      <c r="D45" s="14"/>
      <c r="E45" s="27"/>
    </row>
    <row r="46" spans="3:6" x14ac:dyDescent="0.4">
      <c r="C46" s="32" t="s">
        <v>416</v>
      </c>
      <c r="D46" s="15"/>
      <c r="E46" s="28"/>
    </row>
    <row r="47" spans="3:6" x14ac:dyDescent="0.4">
      <c r="C47" s="33" t="s">
        <v>536</v>
      </c>
      <c r="D47" s="10">
        <f>(C18*C19)*C9*12</f>
        <v>13799.999999999996</v>
      </c>
      <c r="E47" s="29"/>
    </row>
    <row r="48" spans="3:6" x14ac:dyDescent="0.4">
      <c r="C48" s="52" t="s">
        <v>421</v>
      </c>
      <c r="D48" s="10">
        <f>C20*C5</f>
        <v>7000</v>
      </c>
      <c r="E48" s="29"/>
    </row>
    <row r="49" spans="3:6" x14ac:dyDescent="0.4">
      <c r="C49" s="33" t="s">
        <v>422</v>
      </c>
      <c r="D49" s="10">
        <f>C21*C5</f>
        <v>7000</v>
      </c>
      <c r="E49" s="29"/>
    </row>
    <row r="50" spans="3:6" x14ac:dyDescent="0.4">
      <c r="C50" s="93" t="s">
        <v>423</v>
      </c>
      <c r="D50" s="10">
        <f>C22*C5</f>
        <v>7000</v>
      </c>
      <c r="E50" s="29"/>
    </row>
    <row r="51" spans="3:6" x14ac:dyDescent="0.4">
      <c r="C51" s="54" t="s">
        <v>409</v>
      </c>
      <c r="D51" s="16">
        <f>SUM(D41:D50)</f>
        <v>312300</v>
      </c>
      <c r="E51" s="55"/>
    </row>
    <row r="52" spans="3:6" x14ac:dyDescent="0.4">
      <c r="C52" s="56"/>
      <c r="D52" s="9"/>
      <c r="E52" s="57"/>
    </row>
    <row r="53" spans="3:6" x14ac:dyDescent="0.4">
      <c r="C53" s="58" t="s">
        <v>424</v>
      </c>
      <c r="D53" s="16">
        <f>D36+D51</f>
        <v>372250</v>
      </c>
      <c r="E53" s="55"/>
    </row>
    <row r="54" spans="3:6" x14ac:dyDescent="0.4">
      <c r="C54" s="59"/>
      <c r="D54" s="17"/>
      <c r="E54" s="57"/>
    </row>
    <row r="55" spans="3:6" ht="19.95" customHeight="1" x14ac:dyDescent="0.4">
      <c r="C55" s="265" t="s">
        <v>425</v>
      </c>
      <c r="D55" s="49"/>
      <c r="E55" s="50"/>
    </row>
    <row r="56" spans="3:6" x14ac:dyDescent="0.4">
      <c r="C56" s="32" t="s">
        <v>426</v>
      </c>
      <c r="D56" s="9"/>
      <c r="E56" s="27"/>
    </row>
    <row r="57" spans="3:6" ht="27.6" x14ac:dyDescent="0.4">
      <c r="C57" s="291" t="s">
        <v>427</v>
      </c>
      <c r="D57" s="10">
        <f>(D53*0.1)-D50</f>
        <v>30225</v>
      </c>
      <c r="E57" s="326" t="s">
        <v>859</v>
      </c>
    </row>
    <row r="58" spans="3:6" x14ac:dyDescent="0.4">
      <c r="C58" s="60"/>
      <c r="D58" s="6"/>
      <c r="E58" s="29"/>
    </row>
    <row r="59" spans="3:6" x14ac:dyDescent="0.4">
      <c r="C59" s="58" t="s">
        <v>429</v>
      </c>
      <c r="D59" s="16">
        <f>D57</f>
        <v>30225</v>
      </c>
      <c r="E59" s="55"/>
    </row>
    <row r="60" spans="3:6" x14ac:dyDescent="0.4">
      <c r="C60" s="59"/>
      <c r="D60" s="17"/>
      <c r="E60" s="57"/>
    </row>
    <row r="61" spans="3:6" ht="17.399999999999999" thickBot="1" x14ac:dyDescent="0.45">
      <c r="C61" s="59"/>
      <c r="D61" s="17"/>
      <c r="E61" s="57"/>
    </row>
    <row r="62" spans="3:6" ht="32.4" customHeight="1" thickTop="1" x14ac:dyDescent="0.4">
      <c r="C62" s="35" t="s">
        <v>430</v>
      </c>
      <c r="D62" s="20">
        <f>D53+D59</f>
        <v>402475</v>
      </c>
      <c r="E62" s="30"/>
    </row>
    <row r="63" spans="3:6" ht="32.4" customHeight="1" x14ac:dyDescent="0.4">
      <c r="C63" s="61" t="s">
        <v>477</v>
      </c>
      <c r="D63" s="24">
        <f>D62/C8</f>
        <v>8384.8958333333339</v>
      </c>
      <c r="E63" s="62" t="s">
        <v>540</v>
      </c>
      <c r="F63" s="256"/>
    </row>
    <row r="64" spans="3:6" ht="34.5" customHeight="1" thickBot="1" x14ac:dyDescent="0.45">
      <c r="C64" s="36" t="s">
        <v>477</v>
      </c>
      <c r="D64" s="21">
        <f>D62/(C8*0.8)</f>
        <v>10481.119791666664</v>
      </c>
      <c r="E64" s="63" t="s">
        <v>913</v>
      </c>
    </row>
    <row r="65" spans="3:5" ht="17.399999999999999" thickTop="1" x14ac:dyDescent="0.4">
      <c r="C65" s="118"/>
      <c r="E65" s="122"/>
    </row>
    <row r="66" spans="3:5" ht="44.25" customHeight="1" x14ac:dyDescent="0.4">
      <c r="C66" s="1532" t="s">
        <v>914</v>
      </c>
      <c r="D66" s="1376"/>
      <c r="E66" s="1533"/>
    </row>
    <row r="67" spans="3:5" x14ac:dyDescent="0.4">
      <c r="C67" s="1536" t="s">
        <v>915</v>
      </c>
      <c r="D67" s="1537"/>
      <c r="E67" s="1538"/>
    </row>
    <row r="68" spans="3:5" x14ac:dyDescent="0.4">
      <c r="C68" s="1539"/>
      <c r="D68" s="1540"/>
      <c r="E68" s="1541"/>
    </row>
    <row r="69" spans="3:5" x14ac:dyDescent="0.4">
      <c r="C69" s="1358" t="s">
        <v>439</v>
      </c>
      <c r="D69" s="1359"/>
      <c r="E69" s="1378"/>
    </row>
    <row r="70" spans="3:5" x14ac:dyDescent="0.4">
      <c r="C70" s="1360" t="s">
        <v>440</v>
      </c>
      <c r="D70" s="1361"/>
      <c r="E70" s="1362"/>
    </row>
    <row r="71" spans="3:5" x14ac:dyDescent="0.4">
      <c r="C71" s="1363"/>
      <c r="D71" s="1364"/>
      <c r="E71" s="1365"/>
    </row>
    <row r="72" spans="3:5" x14ac:dyDescent="0.4">
      <c r="C72" s="1366"/>
      <c r="D72" s="1367"/>
      <c r="E72" s="1368"/>
    </row>
    <row r="73" spans="3:5" x14ac:dyDescent="0.4">
      <c r="C73" s="1340" t="s">
        <v>916</v>
      </c>
      <c r="D73" s="1341"/>
      <c r="E73" s="1342"/>
    </row>
    <row r="74" spans="3:5" x14ac:dyDescent="0.4">
      <c r="C74" s="1343" t="s">
        <v>917</v>
      </c>
      <c r="D74" s="1344"/>
      <c r="E74" s="1345"/>
    </row>
    <row r="75" spans="3:5" x14ac:dyDescent="0.4">
      <c r="C75" s="1343" t="s">
        <v>918</v>
      </c>
      <c r="D75" s="1344"/>
      <c r="E75" s="1345"/>
    </row>
    <row r="76" spans="3:5" x14ac:dyDescent="0.4">
      <c r="C76" s="1150" t="s">
        <v>919</v>
      </c>
      <c r="D76" s="1151"/>
      <c r="E76" s="281"/>
    </row>
    <row r="77" spans="3:5" x14ac:dyDescent="0.4">
      <c r="C77" s="1346" t="s">
        <v>837</v>
      </c>
      <c r="D77" s="1347"/>
      <c r="E77" s="1348"/>
    </row>
  </sheetData>
  <mergeCells count="11">
    <mergeCell ref="C1:E1"/>
    <mergeCell ref="C66:E66"/>
    <mergeCell ref="C67:E68"/>
    <mergeCell ref="D7:D8"/>
    <mergeCell ref="C3:D3"/>
    <mergeCell ref="C77:E77"/>
    <mergeCell ref="C69:E69"/>
    <mergeCell ref="C70:E72"/>
    <mergeCell ref="C73:E73"/>
    <mergeCell ref="C74:E74"/>
    <mergeCell ref="C75:E75"/>
  </mergeCells>
  <hyperlinks>
    <hyperlink ref="C77:E77" r:id="rId1" display="Click here for more on WSIPP's MST Benefit-Cost Analysis" xr:uid="{3B931A1D-E7E7-4EBA-8581-10B9954B6A50}"/>
  </hyperlinks>
  <pageMargins left="0.25" right="0.25" top="0.75" bottom="0.75" header="0.3" footer="0.3"/>
  <pageSetup scale="64" orientation="portrait" r:id="rId2"/>
  <rowBreaks count="1" manualBreakCount="1">
    <brk id="54" max="4" man="1"/>
  </rowBreaks>
  <colBreaks count="1" manualBreakCount="1">
    <brk id="5" max="1048575" man="1"/>
  </col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R33"/>
  <sheetViews>
    <sheetView zoomScale="80" zoomScaleNormal="80" workbookViewId="0">
      <selection activeCell="E9" sqref="E9"/>
    </sheetView>
  </sheetViews>
  <sheetFormatPr defaultColWidth="8.69921875" defaultRowHeight="16.8" x14ac:dyDescent="0.4"/>
  <cols>
    <col min="1" max="1" width="6" style="22" customWidth="1"/>
    <col min="2" max="2" width="174.59765625" style="22" customWidth="1"/>
    <col min="3" max="3" width="6.19921875" style="22" customWidth="1"/>
    <col min="4" max="16384" width="8.69921875" style="22"/>
  </cols>
  <sheetData>
    <row r="2" spans="2:18" ht="67.5" customHeight="1" x14ac:dyDescent="0.4"/>
    <row r="3" spans="2:18" ht="46.5" customHeight="1" x14ac:dyDescent="0.4">
      <c r="B3" s="1275" t="s">
        <v>39</v>
      </c>
    </row>
    <row r="4" spans="2:18" ht="30" customHeight="1" x14ac:dyDescent="0.4">
      <c r="B4" s="1276"/>
    </row>
    <row r="5" spans="2:18" ht="34.950000000000003" customHeight="1" x14ac:dyDescent="0.4">
      <c r="B5" s="899" t="s">
        <v>40</v>
      </c>
    </row>
    <row r="6" spans="2:18" x14ac:dyDescent="0.4">
      <c r="B6" s="80"/>
    </row>
    <row r="7" spans="2:18" ht="19.2" x14ac:dyDescent="0.45">
      <c r="B7" s="81" t="s">
        <v>41</v>
      </c>
    </row>
    <row r="8" spans="2:18" ht="72.599999999999994" customHeight="1" x14ac:dyDescent="0.4">
      <c r="B8" s="82" t="s">
        <v>42</v>
      </c>
    </row>
    <row r="9" spans="2:18" ht="27.6" customHeight="1" x14ac:dyDescent="0.45">
      <c r="B9" s="81" t="s">
        <v>43</v>
      </c>
    </row>
    <row r="10" spans="2:18" s="73" customFormat="1" ht="199.95" customHeight="1" x14ac:dyDescent="0.4">
      <c r="B10" s="82" t="s">
        <v>44</v>
      </c>
    </row>
    <row r="11" spans="2:18" ht="19.2" x14ac:dyDescent="0.45">
      <c r="B11" s="81" t="s">
        <v>45</v>
      </c>
    </row>
    <row r="12" spans="2:18" ht="76.95" customHeight="1" x14ac:dyDescent="0.4">
      <c r="B12" s="82" t="s">
        <v>46</v>
      </c>
    </row>
    <row r="13" spans="2:18" s="65" customFormat="1" ht="14.4" customHeight="1" x14ac:dyDescent="0.45">
      <c r="B13" s="81" t="s">
        <v>47</v>
      </c>
    </row>
    <row r="14" spans="2:18" s="65" customFormat="1" ht="49.95" customHeight="1" x14ac:dyDescent="0.4">
      <c r="B14" s="705" t="s">
        <v>48</v>
      </c>
    </row>
    <row r="15" spans="2:18" s="65" customFormat="1" ht="175.95" customHeight="1" x14ac:dyDescent="0.4">
      <c r="B15" s="705" t="s">
        <v>49</v>
      </c>
    </row>
    <row r="16" spans="2:18" s="65" customFormat="1" ht="346.95" customHeight="1" x14ac:dyDescent="0.4">
      <c r="B16" s="831" t="s">
        <v>50</v>
      </c>
      <c r="C16" s="72"/>
      <c r="D16" s="72"/>
      <c r="E16" s="72"/>
      <c r="F16" s="72"/>
      <c r="G16" s="72"/>
      <c r="H16" s="72"/>
      <c r="I16" s="72"/>
      <c r="J16" s="72"/>
      <c r="K16" s="72"/>
      <c r="L16" s="72"/>
      <c r="M16" s="72"/>
      <c r="N16" s="72"/>
      <c r="O16" s="72"/>
      <c r="P16" s="72"/>
      <c r="Q16" s="72"/>
      <c r="R16" s="72"/>
    </row>
    <row r="17" spans="2:2" ht="53.4" customHeight="1" x14ac:dyDescent="0.4">
      <c r="B17" s="896" t="s">
        <v>51</v>
      </c>
    </row>
    <row r="18" spans="2:2" ht="33.6" customHeight="1" x14ac:dyDescent="0.45">
      <c r="B18" s="81" t="s">
        <v>52</v>
      </c>
    </row>
    <row r="19" spans="2:2" ht="21" customHeight="1" x14ac:dyDescent="0.4">
      <c r="B19" s="83" t="s">
        <v>53</v>
      </c>
    </row>
    <row r="20" spans="2:2" x14ac:dyDescent="0.4">
      <c r="B20" s="84" t="s">
        <v>54</v>
      </c>
    </row>
    <row r="21" spans="2:2" x14ac:dyDescent="0.4">
      <c r="B21" s="84" t="s">
        <v>55</v>
      </c>
    </row>
    <row r="22" spans="2:2" ht="24" customHeight="1" x14ac:dyDescent="0.4">
      <c r="B22" s="83" t="s">
        <v>56</v>
      </c>
    </row>
    <row r="23" spans="2:2" x14ac:dyDescent="0.4">
      <c r="B23" s="84" t="s">
        <v>57</v>
      </c>
    </row>
    <row r="24" spans="2:2" x14ac:dyDescent="0.4">
      <c r="B24" s="84" t="s">
        <v>52</v>
      </c>
    </row>
    <row r="25" spans="2:2" x14ac:dyDescent="0.4">
      <c r="B25" s="84" t="s">
        <v>58</v>
      </c>
    </row>
    <row r="26" spans="2:2" x14ac:dyDescent="0.4">
      <c r="B26" s="84" t="s">
        <v>59</v>
      </c>
    </row>
    <row r="27" spans="2:2" x14ac:dyDescent="0.4">
      <c r="B27" s="84" t="s">
        <v>60</v>
      </c>
    </row>
    <row r="28" spans="2:2" x14ac:dyDescent="0.4">
      <c r="B28" s="84" t="s">
        <v>61</v>
      </c>
    </row>
    <row r="29" spans="2:2" x14ac:dyDescent="0.4">
      <c r="B29" s="84" t="s">
        <v>62</v>
      </c>
    </row>
    <row r="30" spans="2:2" ht="24.6" customHeight="1" x14ac:dyDescent="0.4">
      <c r="B30" s="83" t="s">
        <v>63</v>
      </c>
    </row>
    <row r="31" spans="2:2" x14ac:dyDescent="0.4">
      <c r="B31" s="84" t="s">
        <v>64</v>
      </c>
    </row>
    <row r="32" spans="2:2" x14ac:dyDescent="0.4">
      <c r="B32" s="1035" t="s">
        <v>65</v>
      </c>
    </row>
    <row r="33" spans="2:2" x14ac:dyDescent="0.4">
      <c r="B33" s="85"/>
    </row>
  </sheetData>
  <mergeCells count="1">
    <mergeCell ref="B3:B4"/>
  </mergeCells>
  <hyperlinks>
    <hyperlink ref="B24" r:id="rId1" xr:uid="{00000000-0004-0000-0100-000003000000}"/>
    <hyperlink ref="B25" r:id="rId2" xr:uid="{00000000-0004-0000-0100-000004000000}"/>
    <hyperlink ref="B26" r:id="rId3" xr:uid="{00000000-0004-0000-0100-000005000000}"/>
    <hyperlink ref="B27" r:id="rId4" xr:uid="{00000000-0004-0000-0100-000006000000}"/>
    <hyperlink ref="B32" r:id="rId5" xr:uid="{00000000-0004-0000-0100-000007000000}"/>
    <hyperlink ref="B28" r:id="rId6" xr:uid="{00000000-0004-0000-0100-000008000000}"/>
    <hyperlink ref="B29" r:id="rId7" xr:uid="{00000000-0004-0000-0100-000009000000}"/>
    <hyperlink ref="B31" r:id="rId8" xr:uid="{00000000-0004-0000-0100-00000A000000}"/>
    <hyperlink ref="B23" r:id="rId9" xr:uid="{00000000-0004-0000-0100-000002000000}"/>
    <hyperlink ref="B21" r:id="rId10" xr:uid="{00000000-0004-0000-0100-000001000000}"/>
    <hyperlink ref="B20" r:id="rId11" xr:uid="{00000000-0004-0000-0100-000000000000}"/>
  </hyperlinks>
  <pageMargins left="0.7" right="0.7" top="0.75" bottom="0.75" header="0.3" footer="0.3"/>
  <pageSetup scale="88" orientation="portrait" r:id="rId12"/>
  <drawing r:id="rId1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99"/>
  <sheetViews>
    <sheetView zoomScaleNormal="100" workbookViewId="0">
      <selection activeCell="B84" sqref="B84"/>
    </sheetView>
  </sheetViews>
  <sheetFormatPr defaultColWidth="9" defaultRowHeight="16.8" x14ac:dyDescent="0.4"/>
  <cols>
    <col min="1" max="1" width="2.3984375" style="18" customWidth="1"/>
    <col min="2" max="2" width="37.5" style="18" customWidth="1"/>
    <col min="3" max="3" width="48.5" style="18" customWidth="1"/>
    <col min="4" max="5" width="30" style="18" customWidth="1"/>
    <col min="6" max="6" width="43.5" style="18" customWidth="1"/>
    <col min="7" max="16384" width="9" style="18"/>
  </cols>
  <sheetData>
    <row r="1" spans="2:6" ht="83.25" customHeight="1" x14ac:dyDescent="0.4">
      <c r="B1" s="911" t="s">
        <v>368</v>
      </c>
      <c r="C1" s="1301" t="s">
        <v>920</v>
      </c>
      <c r="D1" s="1301"/>
      <c r="E1" s="1301"/>
      <c r="F1" s="1301"/>
    </row>
    <row r="2" spans="2:6" x14ac:dyDescent="0.4">
      <c r="C2" s="286"/>
      <c r="F2" s="254"/>
    </row>
    <row r="3" spans="2:6" ht="57.6" customHeight="1" x14ac:dyDescent="0.4">
      <c r="C3" s="1498" t="s">
        <v>370</v>
      </c>
      <c r="D3" s="1498"/>
      <c r="F3" s="414"/>
    </row>
    <row r="4" spans="2:6" x14ac:dyDescent="0.4">
      <c r="C4" s="118"/>
      <c r="F4" s="306"/>
    </row>
    <row r="5" spans="2:6" s="372" customFormat="1" ht="15" customHeight="1" x14ac:dyDescent="0.4">
      <c r="B5" s="224" t="s">
        <v>371</v>
      </c>
      <c r="C5" s="927">
        <v>1</v>
      </c>
      <c r="E5" s="1305"/>
      <c r="F5" s="760"/>
    </row>
    <row r="6" spans="2:6" s="372" customFormat="1" ht="15" customHeight="1" x14ac:dyDescent="0.4">
      <c r="B6" s="224" t="s">
        <v>447</v>
      </c>
      <c r="C6" s="927">
        <v>4</v>
      </c>
      <c r="E6" s="1305"/>
      <c r="F6" s="760"/>
    </row>
    <row r="7" spans="2:6" s="372" customFormat="1" ht="15" customHeight="1" x14ac:dyDescent="0.4">
      <c r="B7" s="224" t="s">
        <v>664</v>
      </c>
      <c r="C7" s="927">
        <v>30</v>
      </c>
      <c r="D7" s="512"/>
      <c r="E7" s="512"/>
      <c r="F7" s="294"/>
    </row>
    <row r="8" spans="2:6" s="372" customFormat="1" ht="15" customHeight="1" x14ac:dyDescent="0.4">
      <c r="B8" s="224" t="s">
        <v>449</v>
      </c>
      <c r="C8" s="295">
        <f>C7*D13</f>
        <v>720</v>
      </c>
      <c r="F8" s="692"/>
    </row>
    <row r="9" spans="2:6" s="372" customFormat="1" ht="15" customHeight="1" x14ac:dyDescent="0.4">
      <c r="B9" s="224" t="s">
        <v>450</v>
      </c>
      <c r="C9" s="819">
        <f>C13+D13+E13</f>
        <v>28</v>
      </c>
      <c r="F9" s="694"/>
    </row>
    <row r="10" spans="2:6" s="372" customFormat="1" x14ac:dyDescent="0.4">
      <c r="B10" s="627"/>
      <c r="C10" s="820"/>
      <c r="F10" s="599"/>
    </row>
    <row r="11" spans="2:6" s="372" customFormat="1" x14ac:dyDescent="0.4">
      <c r="B11" s="628"/>
      <c r="C11" s="1145" t="s">
        <v>512</v>
      </c>
      <c r="D11" s="1145" t="s">
        <v>921</v>
      </c>
      <c r="E11" s="1145"/>
      <c r="F11" s="760"/>
    </row>
    <row r="12" spans="2:6" s="372" customFormat="1" ht="15" customHeight="1" x14ac:dyDescent="0.4">
      <c r="B12" s="626" t="s">
        <v>584</v>
      </c>
      <c r="C12" s="821">
        <v>1</v>
      </c>
      <c r="D12" s="952">
        <v>6</v>
      </c>
      <c r="E12" s="870"/>
      <c r="F12" s="760"/>
    </row>
    <row r="13" spans="2:6" s="372" customFormat="1" ht="15" customHeight="1" x14ac:dyDescent="0.4">
      <c r="B13" s="224" t="s">
        <v>382</v>
      </c>
      <c r="C13" s="594">
        <f>C12*$C$6</f>
        <v>4</v>
      </c>
      <c r="D13" s="871">
        <f>D12*C6</f>
        <v>24</v>
      </c>
      <c r="E13" s="870"/>
      <c r="F13" s="760"/>
    </row>
    <row r="14" spans="2:6" s="372" customFormat="1" ht="15" customHeight="1" x14ac:dyDescent="0.4">
      <c r="B14" s="224" t="s">
        <v>383</v>
      </c>
      <c r="C14" s="935">
        <v>55000</v>
      </c>
      <c r="D14" s="929">
        <v>35000</v>
      </c>
      <c r="E14" s="712"/>
      <c r="F14" s="760"/>
    </row>
    <row r="15" spans="2:6" s="372" customFormat="1" ht="15" customHeight="1" x14ac:dyDescent="0.4">
      <c r="B15" s="224" t="s">
        <v>384</v>
      </c>
      <c r="C15" s="936">
        <v>1</v>
      </c>
      <c r="D15" s="937">
        <v>1</v>
      </c>
      <c r="E15" s="712"/>
      <c r="F15" s="760"/>
    </row>
    <row r="16" spans="2:6" s="372" customFormat="1" ht="15" customHeight="1" x14ac:dyDescent="0.4">
      <c r="B16" s="224" t="s">
        <v>385</v>
      </c>
      <c r="C16" s="930">
        <v>0.25</v>
      </c>
      <c r="D16" s="950">
        <v>0.25</v>
      </c>
      <c r="E16" s="712"/>
      <c r="F16" s="760"/>
    </row>
    <row r="17" spans="2:7" s="372" customFormat="1" ht="15" customHeight="1" x14ac:dyDescent="0.4">
      <c r="B17" s="224"/>
      <c r="C17" s="761"/>
      <c r="D17" s="605"/>
      <c r="E17" s="712"/>
      <c r="F17" s="760"/>
    </row>
    <row r="18" spans="2:7" s="372" customFormat="1" ht="15" customHeight="1" x14ac:dyDescent="0.4">
      <c r="B18" s="224" t="s">
        <v>588</v>
      </c>
      <c r="C18" s="953">
        <v>0.57499999999999996</v>
      </c>
      <c r="F18" s="711"/>
    </row>
    <row r="19" spans="2:7" s="372" customFormat="1" ht="15" customHeight="1" x14ac:dyDescent="0.4">
      <c r="B19" s="224" t="s">
        <v>589</v>
      </c>
      <c r="C19" s="953">
        <v>25</v>
      </c>
      <c r="F19" s="711"/>
    </row>
    <row r="20" spans="2:7" s="372" customFormat="1" ht="15" customHeight="1" x14ac:dyDescent="0.4">
      <c r="B20" s="224" t="s">
        <v>388</v>
      </c>
      <c r="C20" s="932">
        <f>1*C5</f>
        <v>1</v>
      </c>
      <c r="E20" s="727"/>
      <c r="F20" s="760"/>
    </row>
    <row r="21" spans="2:7" s="372" customFormat="1" ht="15" customHeight="1" x14ac:dyDescent="0.4">
      <c r="B21" s="224" t="s">
        <v>389</v>
      </c>
      <c r="C21" s="932">
        <f>1*C5</f>
        <v>1</v>
      </c>
      <c r="E21" s="727"/>
      <c r="F21" s="760"/>
    </row>
    <row r="22" spans="2:7" s="372" customFormat="1" ht="15" customHeight="1" x14ac:dyDescent="0.4">
      <c r="B22" s="224" t="s">
        <v>390</v>
      </c>
      <c r="C22" s="932">
        <f>1*C5</f>
        <v>1</v>
      </c>
      <c r="E22" s="727"/>
      <c r="F22" s="760"/>
    </row>
    <row r="23" spans="2:7" ht="30" customHeight="1" thickBot="1" x14ac:dyDescent="0.45">
      <c r="B23" s="1"/>
      <c r="C23" s="31"/>
      <c r="D23" s="106"/>
      <c r="E23" s="106"/>
      <c r="F23" s="25"/>
    </row>
    <row r="24" spans="2:7" ht="31.2" customHeight="1" thickTop="1" x14ac:dyDescent="0.55000000000000004">
      <c r="C24" s="297" t="s">
        <v>459</v>
      </c>
      <c r="D24" s="298"/>
      <c r="E24" s="298"/>
      <c r="F24" s="299"/>
    </row>
    <row r="25" spans="2:7" ht="13.2" customHeight="1" x14ac:dyDescent="0.4">
      <c r="C25" s="300"/>
      <c r="D25" s="289" t="s">
        <v>392</v>
      </c>
      <c r="E25" s="289" t="s">
        <v>922</v>
      </c>
      <c r="F25" s="290" t="s">
        <v>334</v>
      </c>
    </row>
    <row r="26" spans="2:7" ht="19.95" customHeight="1" x14ac:dyDescent="0.4">
      <c r="C26" s="265" t="s">
        <v>395</v>
      </c>
      <c r="D26" s="119"/>
      <c r="E26" s="119"/>
      <c r="F26" s="120"/>
    </row>
    <row r="27" spans="2:7" ht="22.95" customHeight="1" x14ac:dyDescent="0.4">
      <c r="C27" s="41" t="s">
        <v>461</v>
      </c>
      <c r="D27" s="107"/>
      <c r="E27" s="107"/>
      <c r="F27" s="43"/>
    </row>
    <row r="28" spans="2:7" x14ac:dyDescent="0.4">
      <c r="C28" s="33" t="s">
        <v>923</v>
      </c>
      <c r="D28" s="10">
        <f>SUM(4500*C5)</f>
        <v>4500</v>
      </c>
      <c r="E28" s="10"/>
      <c r="F28" s="125" t="s">
        <v>924</v>
      </c>
      <c r="G28" s="19"/>
    </row>
    <row r="29" spans="2:7" x14ac:dyDescent="0.4">
      <c r="C29" s="303" t="s">
        <v>925</v>
      </c>
      <c r="D29" s="302">
        <f>SUM(600*C9)+50</f>
        <v>16850</v>
      </c>
      <c r="E29" s="98"/>
      <c r="F29" s="88" t="s">
        <v>926</v>
      </c>
    </row>
    <row r="30" spans="2:7" x14ac:dyDescent="0.4">
      <c r="C30" s="245" t="s">
        <v>927</v>
      </c>
      <c r="D30" s="10"/>
      <c r="E30" s="98"/>
      <c r="F30" s="45"/>
    </row>
    <row r="31" spans="2:7" x14ac:dyDescent="0.4">
      <c r="C31" s="248" t="s">
        <v>928</v>
      </c>
      <c r="D31" s="10"/>
      <c r="E31" s="98"/>
      <c r="F31" s="45"/>
    </row>
    <row r="32" spans="2:7" x14ac:dyDescent="0.4">
      <c r="C32" s="44" t="s">
        <v>692</v>
      </c>
      <c r="D32" s="10">
        <f>SUM(500*C9)</f>
        <v>14000</v>
      </c>
      <c r="E32" s="98"/>
      <c r="F32" s="45" t="s">
        <v>929</v>
      </c>
    </row>
    <row r="33" spans="3:6" x14ac:dyDescent="0.4">
      <c r="C33" s="44" t="s">
        <v>930</v>
      </c>
      <c r="D33" s="10">
        <f>SUM(125*C9)*3</f>
        <v>10500</v>
      </c>
      <c r="E33" s="98"/>
      <c r="F33" s="45" t="s">
        <v>931</v>
      </c>
    </row>
    <row r="34" spans="3:6" x14ac:dyDescent="0.4">
      <c r="C34" s="44" t="s">
        <v>694</v>
      </c>
      <c r="D34" s="10">
        <f>SUM(54*C9)*3</f>
        <v>4536</v>
      </c>
      <c r="E34" s="98"/>
      <c r="F34" s="45" t="s">
        <v>932</v>
      </c>
    </row>
    <row r="35" spans="3:6" x14ac:dyDescent="0.4">
      <c r="C35" s="304" t="s">
        <v>933</v>
      </c>
      <c r="D35" s="10"/>
      <c r="E35" s="98"/>
      <c r="F35" s="45"/>
    </row>
    <row r="36" spans="3:6" x14ac:dyDescent="0.4">
      <c r="C36" s="44" t="s">
        <v>930</v>
      </c>
      <c r="D36" s="10">
        <f>SUM(125*C13)*2</f>
        <v>1000</v>
      </c>
      <c r="E36" s="98"/>
      <c r="F36" s="45" t="s">
        <v>934</v>
      </c>
    </row>
    <row r="37" spans="3:6" x14ac:dyDescent="0.4">
      <c r="C37" s="44" t="s">
        <v>694</v>
      </c>
      <c r="D37" s="10">
        <f>SUM(54*C13)*2</f>
        <v>432</v>
      </c>
      <c r="E37" s="98"/>
      <c r="F37" s="45" t="s">
        <v>935</v>
      </c>
    </row>
    <row r="38" spans="3:6" x14ac:dyDescent="0.4">
      <c r="C38" s="248" t="s">
        <v>936</v>
      </c>
      <c r="D38" s="10"/>
      <c r="E38" s="98"/>
      <c r="F38" s="88"/>
    </row>
    <row r="39" spans="3:6" x14ac:dyDescent="0.4">
      <c r="C39" s="33" t="s">
        <v>692</v>
      </c>
      <c r="D39" s="10">
        <f>SUM(500*C9)</f>
        <v>14000</v>
      </c>
      <c r="E39" s="98"/>
      <c r="F39" s="45" t="s">
        <v>929</v>
      </c>
    </row>
    <row r="40" spans="3:6" x14ac:dyDescent="0.4">
      <c r="C40" s="33" t="s">
        <v>930</v>
      </c>
      <c r="D40" s="10">
        <f>SUM(125*C9)*2</f>
        <v>7000</v>
      </c>
      <c r="E40" s="98"/>
      <c r="F40" s="45" t="s">
        <v>934</v>
      </c>
    </row>
    <row r="41" spans="3:6" x14ac:dyDescent="0.4">
      <c r="C41" s="33" t="s">
        <v>694</v>
      </c>
      <c r="D41" s="10">
        <f>SUM(54*C9)*2</f>
        <v>3024</v>
      </c>
      <c r="E41" s="98"/>
      <c r="F41" s="45" t="s">
        <v>935</v>
      </c>
    </row>
    <row r="42" spans="3:6" x14ac:dyDescent="0.4">
      <c r="C42" s="246" t="s">
        <v>937</v>
      </c>
      <c r="D42" s="10"/>
      <c r="E42" s="98"/>
      <c r="F42" s="45"/>
    </row>
    <row r="43" spans="3:6" x14ac:dyDescent="0.4">
      <c r="C43" s="33" t="s">
        <v>938</v>
      </c>
      <c r="D43" s="10">
        <v>295</v>
      </c>
      <c r="E43" s="98"/>
      <c r="F43" s="45" t="s">
        <v>939</v>
      </c>
    </row>
    <row r="44" spans="3:6" x14ac:dyDescent="0.4">
      <c r="C44" s="93"/>
      <c r="D44" s="10"/>
      <c r="E44" s="98"/>
      <c r="F44" s="45"/>
    </row>
    <row r="45" spans="3:6" x14ac:dyDescent="0.4">
      <c r="C45" s="41" t="s">
        <v>940</v>
      </c>
      <c r="D45" s="10"/>
      <c r="E45" s="98"/>
      <c r="F45" s="45"/>
    </row>
    <row r="46" spans="3:6" x14ac:dyDescent="0.4">
      <c r="C46" s="305" t="s">
        <v>941</v>
      </c>
      <c r="D46" s="10"/>
      <c r="E46" s="98">
        <v>2000</v>
      </c>
      <c r="F46" s="45"/>
    </row>
    <row r="47" spans="3:6" x14ac:dyDescent="0.4">
      <c r="C47" s="305" t="s">
        <v>942</v>
      </c>
      <c r="D47" s="98"/>
      <c r="E47" s="98">
        <f>SUM(200*C9)</f>
        <v>5600</v>
      </c>
      <c r="F47" s="45" t="s">
        <v>943</v>
      </c>
    </row>
    <row r="48" spans="3:6" x14ac:dyDescent="0.4">
      <c r="C48" s="305" t="s">
        <v>944</v>
      </c>
      <c r="D48" s="98"/>
      <c r="E48" s="98">
        <f>SUM(55*C9)</f>
        <v>1540</v>
      </c>
      <c r="F48" s="45" t="s">
        <v>945</v>
      </c>
    </row>
    <row r="49" spans="3:6" x14ac:dyDescent="0.4">
      <c r="C49" s="305" t="s">
        <v>946</v>
      </c>
      <c r="D49" s="10"/>
      <c r="E49" s="98"/>
      <c r="F49" s="88"/>
    </row>
    <row r="50" spans="3:6" x14ac:dyDescent="0.4">
      <c r="C50" s="33" t="s">
        <v>947</v>
      </c>
      <c r="D50" s="98"/>
      <c r="E50" s="10">
        <f>SUM(1050*C9)+75</f>
        <v>29475</v>
      </c>
      <c r="F50" s="89" t="s">
        <v>948</v>
      </c>
    </row>
    <row r="51" spans="3:6" x14ac:dyDescent="0.4">
      <c r="C51" s="33" t="s">
        <v>949</v>
      </c>
      <c r="D51" s="10"/>
      <c r="E51" s="10">
        <f>SUM(975*C9)+50</f>
        <v>27350</v>
      </c>
      <c r="F51" s="167" t="s">
        <v>950</v>
      </c>
    </row>
    <row r="52" spans="3:6" x14ac:dyDescent="0.4">
      <c r="C52" s="33" t="s">
        <v>951</v>
      </c>
      <c r="D52" s="10"/>
      <c r="E52" s="10">
        <f>SUM(300*C9)+50</f>
        <v>8450</v>
      </c>
      <c r="F52" s="89" t="s">
        <v>952</v>
      </c>
    </row>
    <row r="53" spans="3:6" x14ac:dyDescent="0.4">
      <c r="C53" s="33" t="s">
        <v>953</v>
      </c>
      <c r="D53" s="10"/>
      <c r="E53" s="10">
        <f>SUM(600*C9)+50</f>
        <v>16850</v>
      </c>
      <c r="F53" s="89" t="s">
        <v>954</v>
      </c>
    </row>
    <row r="54" spans="3:6" x14ac:dyDescent="0.4">
      <c r="C54" s="33" t="s">
        <v>955</v>
      </c>
      <c r="D54" s="10"/>
      <c r="E54" s="10">
        <f>SUM(975*C9)+50</f>
        <v>27350</v>
      </c>
      <c r="F54" s="89" t="s">
        <v>950</v>
      </c>
    </row>
    <row r="55" spans="3:6" x14ac:dyDescent="0.4">
      <c r="C55" s="93"/>
      <c r="D55" s="78"/>
      <c r="E55" s="78"/>
      <c r="F55" s="517"/>
    </row>
    <row r="56" spans="3:6" x14ac:dyDescent="0.4">
      <c r="C56" s="47" t="s">
        <v>409</v>
      </c>
      <c r="D56" s="77">
        <f>SUM(D28:D49)</f>
        <v>76137</v>
      </c>
      <c r="E56" s="77">
        <f>SUM(E46:E55)</f>
        <v>118615</v>
      </c>
      <c r="F56" s="48"/>
    </row>
    <row r="57" spans="3:6" x14ac:dyDescent="0.4">
      <c r="C57" s="121"/>
      <c r="D57" s="9"/>
      <c r="E57" s="9"/>
      <c r="F57" s="27"/>
    </row>
    <row r="58" spans="3:6" ht="19.95" customHeight="1" x14ac:dyDescent="0.4">
      <c r="C58" s="265" t="s">
        <v>410</v>
      </c>
      <c r="D58" s="49"/>
      <c r="E58" s="49"/>
      <c r="F58" s="50"/>
    </row>
    <row r="59" spans="3:6" x14ac:dyDescent="0.4">
      <c r="C59" s="51"/>
      <c r="D59" s="13"/>
      <c r="E59" s="13"/>
      <c r="F59" s="26"/>
    </row>
    <row r="60" spans="3:6" x14ac:dyDescent="0.4">
      <c r="C60" s="32" t="s">
        <v>412</v>
      </c>
      <c r="D60" s="9"/>
      <c r="E60" s="9"/>
      <c r="F60" s="26"/>
    </row>
    <row r="61" spans="3:6" x14ac:dyDescent="0.4">
      <c r="C61" s="33" t="s">
        <v>414</v>
      </c>
      <c r="D61" s="10">
        <f>C14*C13*C15</f>
        <v>220000</v>
      </c>
      <c r="E61" s="10">
        <f>C14*C13*C15</f>
        <v>220000</v>
      </c>
      <c r="F61" s="26"/>
    </row>
    <row r="62" spans="3:6" x14ac:dyDescent="0.4">
      <c r="C62" s="33" t="s">
        <v>413</v>
      </c>
      <c r="D62" s="10">
        <f>D14*D13*D15</f>
        <v>840000</v>
      </c>
      <c r="E62" s="10">
        <f>D14*D13*D15</f>
        <v>840000</v>
      </c>
      <c r="F62" s="26"/>
    </row>
    <row r="63" spans="3:6" x14ac:dyDescent="0.4">
      <c r="C63" s="33" t="s">
        <v>572</v>
      </c>
      <c r="D63" s="10">
        <v>0</v>
      </c>
      <c r="E63" s="78"/>
      <c r="F63" s="27"/>
    </row>
    <row r="64" spans="3:6" x14ac:dyDescent="0.4">
      <c r="C64" s="854" t="s">
        <v>415</v>
      </c>
      <c r="D64" s="241">
        <f>(D62*C16)+(D61*D16)</f>
        <v>265000</v>
      </c>
      <c r="E64" s="241">
        <f>(D62*C16)+(D61*D16)</f>
        <v>265000</v>
      </c>
      <c r="F64" s="242"/>
    </row>
    <row r="65" spans="3:6" x14ac:dyDescent="0.4">
      <c r="C65" s="34"/>
      <c r="D65" s="14"/>
      <c r="E65" s="14"/>
      <c r="F65" s="27"/>
    </row>
    <row r="66" spans="3:6" x14ac:dyDescent="0.4">
      <c r="C66" s="32" t="s">
        <v>416</v>
      </c>
      <c r="D66" s="15"/>
      <c r="E66" s="15"/>
      <c r="F66" s="28"/>
    </row>
    <row r="67" spans="3:6" x14ac:dyDescent="0.4">
      <c r="C67" s="33" t="s">
        <v>536</v>
      </c>
      <c r="D67" s="10">
        <f>C18*C19*C9*12</f>
        <v>4829.9999999999991</v>
      </c>
      <c r="E67" s="10">
        <f>C18*C19*C9*12</f>
        <v>4829.9999999999991</v>
      </c>
      <c r="F67" s="29"/>
    </row>
    <row r="68" spans="3:6" x14ac:dyDescent="0.4">
      <c r="C68" s="52" t="s">
        <v>421</v>
      </c>
      <c r="D68" s="10">
        <f>C20</f>
        <v>1</v>
      </c>
      <c r="E68" s="10">
        <f>C20*C5</f>
        <v>1</v>
      </c>
      <c r="F68" s="29"/>
    </row>
    <row r="69" spans="3:6" x14ac:dyDescent="0.4">
      <c r="C69" s="33" t="s">
        <v>422</v>
      </c>
      <c r="D69" s="10">
        <f t="shared" ref="D69:D70" si="0">C21</f>
        <v>1</v>
      </c>
      <c r="E69" s="10">
        <f>C21*C5</f>
        <v>1</v>
      </c>
      <c r="F69" s="29"/>
    </row>
    <row r="70" spans="3:6" x14ac:dyDescent="0.4">
      <c r="C70" s="854" t="s">
        <v>423</v>
      </c>
      <c r="D70" s="10">
        <f t="shared" si="0"/>
        <v>1</v>
      </c>
      <c r="E70" s="10">
        <f>C22*C5</f>
        <v>1</v>
      </c>
      <c r="F70" s="29"/>
    </row>
    <row r="71" spans="3:6" x14ac:dyDescent="0.4">
      <c r="C71" s="118"/>
      <c r="F71" s="29"/>
    </row>
    <row r="72" spans="3:6" x14ac:dyDescent="0.4">
      <c r="C72" s="54" t="s">
        <v>409</v>
      </c>
      <c r="D72" s="16">
        <f>SUM(D61:D71)</f>
        <v>1329833</v>
      </c>
      <c r="E72" s="16">
        <f>SUM(E61:E67)</f>
        <v>1329830</v>
      </c>
      <c r="F72" s="55"/>
    </row>
    <row r="73" spans="3:6" x14ac:dyDescent="0.4">
      <c r="C73" s="56"/>
      <c r="D73" s="9"/>
      <c r="E73" s="9"/>
      <c r="F73" s="57"/>
    </row>
    <row r="74" spans="3:6" x14ac:dyDescent="0.4">
      <c r="C74" s="58" t="s">
        <v>424</v>
      </c>
      <c r="D74" s="16">
        <f>D56+D72</f>
        <v>1405970</v>
      </c>
      <c r="E74" s="16">
        <f>SUM(E56+E72)</f>
        <v>1448445</v>
      </c>
      <c r="F74" s="55"/>
    </row>
    <row r="75" spans="3:6" x14ac:dyDescent="0.4">
      <c r="C75" s="59"/>
      <c r="D75" s="17"/>
      <c r="E75" s="17"/>
      <c r="F75" s="57"/>
    </row>
    <row r="76" spans="3:6" ht="19.95" customHeight="1" x14ac:dyDescent="0.4">
      <c r="C76" s="265" t="s">
        <v>425</v>
      </c>
      <c r="D76" s="49"/>
      <c r="E76" s="49"/>
      <c r="F76" s="50"/>
    </row>
    <row r="77" spans="3:6" x14ac:dyDescent="0.4">
      <c r="C77" s="32" t="s">
        <v>426</v>
      </c>
      <c r="D77" s="9"/>
      <c r="E77" s="9"/>
      <c r="F77" s="27"/>
    </row>
    <row r="78" spans="3:6" ht="27.6" x14ac:dyDescent="0.4">
      <c r="C78" s="291" t="s">
        <v>427</v>
      </c>
      <c r="D78" s="10">
        <f>(D74*0.1)-D70</f>
        <v>140596</v>
      </c>
      <c r="E78" s="10">
        <f>(E74*0.1)-E70</f>
        <v>144843.5</v>
      </c>
      <c r="F78" s="326" t="s">
        <v>859</v>
      </c>
    </row>
    <row r="79" spans="3:6" x14ac:dyDescent="0.4">
      <c r="C79" s="93"/>
      <c r="D79" s="126"/>
      <c r="E79" s="126"/>
      <c r="F79" s="27"/>
    </row>
    <row r="80" spans="3:6" x14ac:dyDescent="0.4">
      <c r="C80" s="58" t="s">
        <v>429</v>
      </c>
      <c r="D80" s="16">
        <f>SUM(D78:D79)</f>
        <v>140596</v>
      </c>
      <c r="E80" s="16">
        <f>SUM(E78)</f>
        <v>144843.5</v>
      </c>
      <c r="F80" s="55"/>
    </row>
    <row r="81" spans="2:6" x14ac:dyDescent="0.4">
      <c r="C81" s="59"/>
      <c r="D81" s="17"/>
      <c r="E81" s="17"/>
      <c r="F81" s="57"/>
    </row>
    <row r="82" spans="2:6" ht="17.399999999999999" thickBot="1" x14ac:dyDescent="0.45">
      <c r="C82" s="59"/>
      <c r="D82" s="17"/>
      <c r="E82" s="17"/>
      <c r="F82" s="57"/>
    </row>
    <row r="83" spans="2:6" ht="32.4" customHeight="1" thickTop="1" x14ac:dyDescent="0.4">
      <c r="C83" s="35" t="s">
        <v>430</v>
      </c>
      <c r="D83" s="20">
        <f>D74+D80</f>
        <v>1546566</v>
      </c>
      <c r="E83" s="20">
        <f>SUM(E80+E74)</f>
        <v>1593288.5</v>
      </c>
      <c r="F83" s="30"/>
    </row>
    <row r="84" spans="2:6" ht="34.5" customHeight="1" thickBot="1" x14ac:dyDescent="0.45">
      <c r="C84" s="36" t="s">
        <v>477</v>
      </c>
      <c r="D84" s="21">
        <f>D83/C8</f>
        <v>2148.0083333333332</v>
      </c>
      <c r="E84" s="21">
        <f>SUM(E83/C8)</f>
        <v>2212.9006944444445</v>
      </c>
      <c r="F84" s="124"/>
    </row>
    <row r="85" spans="2:6" ht="17.399999999999999" thickTop="1" x14ac:dyDescent="0.4">
      <c r="C85" s="451"/>
      <c r="D85" s="452"/>
      <c r="E85" s="452"/>
      <c r="F85" s="453"/>
    </row>
    <row r="86" spans="2:6" x14ac:dyDescent="0.4">
      <c r="C86" s="1542" t="s">
        <v>718</v>
      </c>
      <c r="D86" s="1543"/>
      <c r="E86" s="521"/>
      <c r="F86" s="523"/>
    </row>
    <row r="87" spans="2:6" x14ac:dyDescent="0.4">
      <c r="C87" s="878" t="s">
        <v>956</v>
      </c>
      <c r="D87"/>
      <c r="E87" s="519"/>
      <c r="F87" s="524"/>
    </row>
    <row r="88" spans="2:6" x14ac:dyDescent="0.4">
      <c r="C88" s="522" t="s">
        <v>957</v>
      </c>
      <c r="D88" s="518"/>
      <c r="E88" s="519"/>
      <c r="F88" s="524"/>
    </row>
    <row r="89" spans="2:6" x14ac:dyDescent="0.4">
      <c r="C89" s="664" t="s">
        <v>958</v>
      </c>
      <c r="D89" s="520"/>
      <c r="E89" s="520"/>
      <c r="F89" s="525"/>
    </row>
    <row r="90" spans="2:6" x14ac:dyDescent="0.4">
      <c r="C90" s="526"/>
      <c r="D90" s="527"/>
      <c r="E90" s="527"/>
      <c r="F90" s="528"/>
    </row>
    <row r="91" spans="2:6" x14ac:dyDescent="0.4">
      <c r="B91"/>
      <c r="C91" s="388" t="s">
        <v>439</v>
      </c>
      <c r="D91" s="383"/>
      <c r="E91" s="383"/>
      <c r="F91" s="384"/>
    </row>
    <row r="92" spans="2:6" x14ac:dyDescent="0.4">
      <c r="C92" s="1520" t="s">
        <v>440</v>
      </c>
      <c r="D92" s="1521"/>
      <c r="E92" s="1521"/>
      <c r="F92" s="1522"/>
    </row>
    <row r="93" spans="2:6" x14ac:dyDescent="0.4">
      <c r="C93" s="1523"/>
      <c r="D93" s="1524"/>
      <c r="E93" s="1524"/>
      <c r="F93" s="1525"/>
    </row>
    <row r="94" spans="2:6" x14ac:dyDescent="0.4">
      <c r="C94" s="1523"/>
      <c r="D94" s="1524"/>
      <c r="E94" s="1524"/>
      <c r="F94" s="1525"/>
    </row>
    <row r="95" spans="2:6" x14ac:dyDescent="0.4">
      <c r="C95" s="1437" t="s">
        <v>959</v>
      </c>
      <c r="D95" s="1526"/>
      <c r="E95" s="1526"/>
      <c r="F95" s="1527"/>
    </row>
    <row r="96" spans="2:6" x14ac:dyDescent="0.4">
      <c r="C96" s="385" t="s">
        <v>960</v>
      </c>
      <c r="D96" s="386"/>
      <c r="E96" s="386"/>
      <c r="F96" s="387"/>
    </row>
    <row r="97" spans="1:6" x14ac:dyDescent="0.4">
      <c r="C97" s="385" t="s">
        <v>961</v>
      </c>
      <c r="D97" s="386"/>
      <c r="E97" s="386"/>
      <c r="F97" s="387"/>
    </row>
    <row r="98" spans="1:6" x14ac:dyDescent="0.4">
      <c r="C98" s="1528" t="s">
        <v>962</v>
      </c>
      <c r="D98" s="1297"/>
      <c r="E98" s="386"/>
      <c r="F98" s="387"/>
    </row>
    <row r="99" spans="1:6" x14ac:dyDescent="0.4">
      <c r="A99" s="269"/>
      <c r="B99" s="353"/>
      <c r="C99" s="1346" t="s">
        <v>963</v>
      </c>
      <c r="D99" s="1347"/>
      <c r="E99" s="1347"/>
      <c r="F99" s="1348"/>
    </row>
  </sheetData>
  <mergeCells count="8">
    <mergeCell ref="C98:D98"/>
    <mergeCell ref="C99:F99"/>
    <mergeCell ref="C1:F1"/>
    <mergeCell ref="E5:E6"/>
    <mergeCell ref="C92:F94"/>
    <mergeCell ref="C95:F95"/>
    <mergeCell ref="C86:D86"/>
    <mergeCell ref="C3:D3"/>
  </mergeCells>
  <hyperlinks>
    <hyperlink ref="C99:F99" r:id="rId1" display="Click here for more on WSIPP's PAT Benefit-Cost Analysis" xr:uid="{9B17AB21-26BB-4DE3-9D3B-F72389697A41}"/>
    <hyperlink ref="C88" r:id="rId2" xr:uid="{C12B4626-A641-409B-8088-741A50E893B7}"/>
    <hyperlink ref="C87" r:id="rId3" xr:uid="{68216C76-6516-4276-A0BB-D7ED777B290B}"/>
  </hyperlinks>
  <pageMargins left="0.25" right="0.25" top="0.75" bottom="0.75" header="0.3" footer="0.3"/>
  <pageSetup scale="53" orientation="portrait" r:id="rId4"/>
  <rowBreaks count="1" manualBreakCount="1">
    <brk id="57" max="5" man="1"/>
  </rowBreaks>
  <colBreaks count="1" manualBreakCount="1">
    <brk id="6" max="1048575" man="1"/>
  </colBreaks>
  <drawing r:id="rId5"/>
  <legacyDrawing r:id="rId6"/>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71"/>
  <sheetViews>
    <sheetView zoomScaleNormal="100" workbookViewId="0">
      <selection activeCell="H56" sqref="H56"/>
    </sheetView>
  </sheetViews>
  <sheetFormatPr defaultColWidth="9" defaultRowHeight="16.8" x14ac:dyDescent="0.4"/>
  <cols>
    <col min="1" max="1" width="2.3984375" style="18" customWidth="1"/>
    <col min="2" max="2" width="40.3984375" style="18" customWidth="1"/>
    <col min="3" max="3" width="38.19921875" style="18" customWidth="1"/>
    <col min="4" max="4" width="39.59765625" style="18" customWidth="1"/>
    <col min="5" max="5" width="45" style="18" customWidth="1"/>
    <col min="6" max="16384" width="9" style="18"/>
  </cols>
  <sheetData>
    <row r="1" spans="2:6" ht="78.75" customHeight="1" x14ac:dyDescent="0.4">
      <c r="B1" s="911" t="s">
        <v>368</v>
      </c>
      <c r="C1" s="1301" t="s">
        <v>964</v>
      </c>
      <c r="D1" s="1386"/>
      <c r="E1" s="1387"/>
    </row>
    <row r="2" spans="2:6" ht="15.6" customHeight="1" x14ac:dyDescent="0.4">
      <c r="B2" s="1"/>
      <c r="C2" s="331"/>
      <c r="D2" s="198"/>
      <c r="E2" s="199"/>
    </row>
    <row r="3" spans="2:6" ht="63.6" customHeight="1" x14ac:dyDescent="0.4">
      <c r="C3" s="1498" t="s">
        <v>370</v>
      </c>
      <c r="D3" s="1499"/>
      <c r="E3" s="122"/>
    </row>
    <row r="4" spans="2:6" x14ac:dyDescent="0.4">
      <c r="C4" s="118"/>
      <c r="E4" s="306"/>
    </row>
    <row r="5" spans="2:6" s="372" customFormat="1" ht="15" customHeight="1" x14ac:dyDescent="0.4">
      <c r="B5" s="224" t="s">
        <v>371</v>
      </c>
      <c r="C5" s="927">
        <v>1</v>
      </c>
      <c r="E5" s="756"/>
    </row>
    <row r="6" spans="2:6" s="372" customFormat="1" ht="15" customHeight="1" x14ac:dyDescent="0.4">
      <c r="B6" s="224" t="s">
        <v>447</v>
      </c>
      <c r="C6" s="927">
        <v>1</v>
      </c>
      <c r="E6" s="757"/>
    </row>
    <row r="7" spans="2:6" s="372" customFormat="1" ht="15" customHeight="1" x14ac:dyDescent="0.4">
      <c r="B7" s="224" t="s">
        <v>965</v>
      </c>
      <c r="C7" s="927">
        <v>60</v>
      </c>
      <c r="D7" s="512"/>
      <c r="E7" s="758"/>
    </row>
    <row r="8" spans="2:6" s="372" customFormat="1" ht="15" customHeight="1" x14ac:dyDescent="0.4">
      <c r="B8" s="224" t="s">
        <v>966</v>
      </c>
      <c r="C8" s="700">
        <v>15</v>
      </c>
      <c r="E8" s="759"/>
    </row>
    <row r="9" spans="2:6" s="372" customFormat="1" ht="15" customHeight="1" x14ac:dyDescent="0.4">
      <c r="B9" s="224" t="s">
        <v>449</v>
      </c>
      <c r="C9" s="295">
        <f>C7*D14</f>
        <v>240</v>
      </c>
      <c r="E9" s="692"/>
    </row>
    <row r="10" spans="2:6" s="372" customFormat="1" ht="15" customHeight="1" x14ac:dyDescent="0.4">
      <c r="B10" s="224" t="s">
        <v>450</v>
      </c>
      <c r="C10" s="819">
        <f>C14+D14+E14</f>
        <v>5</v>
      </c>
      <c r="E10" s="694"/>
    </row>
    <row r="11" spans="2:6" s="372" customFormat="1" x14ac:dyDescent="0.4">
      <c r="B11" s="627"/>
      <c r="C11" s="602"/>
      <c r="E11" s="599"/>
    </row>
    <row r="12" spans="2:6" s="372" customFormat="1" x14ac:dyDescent="0.4">
      <c r="B12" s="628"/>
      <c r="C12" s="603" t="s">
        <v>512</v>
      </c>
      <c r="D12" s="1145" t="s">
        <v>380</v>
      </c>
      <c r="E12" s="667"/>
    </row>
    <row r="13" spans="2:6" s="372" customFormat="1" ht="15" customHeight="1" x14ac:dyDescent="0.4">
      <c r="B13" s="626" t="s">
        <v>584</v>
      </c>
      <c r="C13" s="596">
        <v>1</v>
      </c>
      <c r="D13" s="934">
        <v>4</v>
      </c>
      <c r="E13" s="746"/>
      <c r="F13" s="512"/>
    </row>
    <row r="14" spans="2:6" s="372" customFormat="1" ht="15" customHeight="1" x14ac:dyDescent="0.4">
      <c r="B14" s="224" t="s">
        <v>382</v>
      </c>
      <c r="C14" s="596">
        <f>C13*$C$6</f>
        <v>1</v>
      </c>
      <c r="D14" s="210">
        <f>D13*C6</f>
        <v>4</v>
      </c>
      <c r="E14" s="746"/>
    </row>
    <row r="15" spans="2:6" s="372" customFormat="1" ht="15" customHeight="1" x14ac:dyDescent="0.4">
      <c r="B15" s="224" t="s">
        <v>383</v>
      </c>
      <c r="C15" s="935">
        <v>50000</v>
      </c>
      <c r="D15" s="929">
        <v>43000</v>
      </c>
      <c r="E15" s="747"/>
    </row>
    <row r="16" spans="2:6" s="372" customFormat="1" ht="15" customHeight="1" x14ac:dyDescent="0.4">
      <c r="B16" s="224" t="s">
        <v>384</v>
      </c>
      <c r="C16" s="936">
        <v>1</v>
      </c>
      <c r="D16" s="937">
        <v>1</v>
      </c>
      <c r="E16" s="747"/>
    </row>
    <row r="17" spans="2:6" s="372" customFormat="1" ht="15" customHeight="1" x14ac:dyDescent="0.4">
      <c r="B17" s="224" t="s">
        <v>385</v>
      </c>
      <c r="C17" s="930">
        <v>0.25</v>
      </c>
      <c r="D17" s="950">
        <v>0.25</v>
      </c>
      <c r="E17" s="747"/>
    </row>
    <row r="18" spans="2:6" s="372" customFormat="1" ht="15" customHeight="1" x14ac:dyDescent="0.4">
      <c r="B18" s="713"/>
      <c r="C18" s="714"/>
      <c r="D18" s="639"/>
      <c r="E18" s="672"/>
    </row>
    <row r="19" spans="2:6" s="372" customFormat="1" ht="15" customHeight="1" x14ac:dyDescent="0.4">
      <c r="B19" s="224" t="s">
        <v>388</v>
      </c>
      <c r="C19" s="951">
        <v>7000</v>
      </c>
      <c r="E19" s="672"/>
    </row>
    <row r="20" spans="2:6" s="372" customFormat="1" ht="15" customHeight="1" x14ac:dyDescent="0.4">
      <c r="B20" s="224" t="s">
        <v>967</v>
      </c>
      <c r="C20" s="951">
        <v>7000</v>
      </c>
      <c r="E20" s="672"/>
    </row>
    <row r="21" spans="2:6" s="372" customFormat="1" ht="15" customHeight="1" x14ac:dyDescent="0.4">
      <c r="B21" s="224" t="s">
        <v>390</v>
      </c>
      <c r="C21" s="951">
        <v>7000</v>
      </c>
      <c r="E21" s="672"/>
    </row>
    <row r="22" spans="2:6" ht="15" customHeight="1" thickBot="1" x14ac:dyDescent="0.45">
      <c r="B22" s="1"/>
      <c r="C22" s="31"/>
      <c r="D22" s="4"/>
      <c r="E22" s="25"/>
    </row>
    <row r="23" spans="2:6" ht="31.2" customHeight="1" thickTop="1" x14ac:dyDescent="0.55000000000000004">
      <c r="C23" s="297" t="s">
        <v>459</v>
      </c>
      <c r="D23" s="298"/>
      <c r="E23" s="299"/>
    </row>
    <row r="24" spans="2:6" ht="13.2" customHeight="1" x14ac:dyDescent="0.4">
      <c r="C24" s="300"/>
      <c r="D24" s="289" t="s">
        <v>392</v>
      </c>
      <c r="E24" s="290" t="s">
        <v>334</v>
      </c>
    </row>
    <row r="25" spans="2:6" ht="19.95" customHeight="1" x14ac:dyDescent="0.4">
      <c r="C25" s="265" t="s">
        <v>395</v>
      </c>
      <c r="D25" s="119"/>
      <c r="E25" s="120"/>
    </row>
    <row r="26" spans="2:6" ht="22.95" customHeight="1" x14ac:dyDescent="0.4">
      <c r="C26" s="491" t="s">
        <v>461</v>
      </c>
      <c r="D26" s="42"/>
      <c r="E26" s="43"/>
    </row>
    <row r="27" spans="2:6" x14ac:dyDescent="0.4">
      <c r="C27" s="33" t="s">
        <v>900</v>
      </c>
      <c r="D27" s="10">
        <f>4000*C10</f>
        <v>20000</v>
      </c>
      <c r="E27" s="26" t="s">
        <v>968</v>
      </c>
    </row>
    <row r="28" spans="2:6" x14ac:dyDescent="0.4">
      <c r="C28" s="33" t="s">
        <v>969</v>
      </c>
      <c r="D28" s="10">
        <f>225*C10</f>
        <v>1125</v>
      </c>
      <c r="E28" s="26" t="s">
        <v>970</v>
      </c>
    </row>
    <row r="29" spans="2:6" x14ac:dyDescent="0.4">
      <c r="C29" s="33" t="s">
        <v>971</v>
      </c>
      <c r="D29" s="10">
        <f>1500*C6</f>
        <v>1500</v>
      </c>
      <c r="E29" s="26" t="s">
        <v>972</v>
      </c>
      <c r="F29" s="19"/>
    </row>
    <row r="30" spans="2:6" x14ac:dyDescent="0.4">
      <c r="C30" s="33" t="s">
        <v>473</v>
      </c>
      <c r="D30" s="10">
        <f>C9*C8</f>
        <v>3600</v>
      </c>
      <c r="E30" s="26" t="s">
        <v>973</v>
      </c>
      <c r="F30" s="19"/>
    </row>
    <row r="31" spans="2:6" x14ac:dyDescent="0.4">
      <c r="C31" s="93"/>
      <c r="D31" s="10"/>
      <c r="E31" s="88"/>
    </row>
    <row r="32" spans="2:6" x14ac:dyDescent="0.4">
      <c r="C32" s="47" t="s">
        <v>409</v>
      </c>
      <c r="D32" s="77">
        <f>SUM(D27:D31)</f>
        <v>26225</v>
      </c>
      <c r="E32" s="48"/>
    </row>
    <row r="33" spans="3:5" x14ac:dyDescent="0.4">
      <c r="C33" s="121"/>
      <c r="D33" s="9"/>
      <c r="E33" s="27"/>
    </row>
    <row r="34" spans="3:5" ht="19.95" customHeight="1" x14ac:dyDescent="0.4">
      <c r="C34" s="265" t="s">
        <v>410</v>
      </c>
      <c r="D34" s="49"/>
      <c r="E34" s="50"/>
    </row>
    <row r="35" spans="3:5" ht="30" customHeight="1" x14ac:dyDescent="0.4">
      <c r="C35" s="51"/>
      <c r="D35" s="13"/>
      <c r="E35" s="26"/>
    </row>
    <row r="36" spans="3:5" x14ac:dyDescent="0.4">
      <c r="C36" s="567" t="s">
        <v>412</v>
      </c>
      <c r="D36" s="9"/>
      <c r="E36" s="26"/>
    </row>
    <row r="37" spans="3:5" x14ac:dyDescent="0.4">
      <c r="C37" s="291" t="s">
        <v>414</v>
      </c>
      <c r="D37" s="10">
        <f>C15*C14*C16</f>
        <v>50000</v>
      </c>
      <c r="E37" s="26"/>
    </row>
    <row r="38" spans="3:5" x14ac:dyDescent="0.4">
      <c r="C38" s="291" t="s">
        <v>413</v>
      </c>
      <c r="D38" s="10">
        <f>D15*D14*D16</f>
        <v>172000</v>
      </c>
      <c r="E38" s="26"/>
    </row>
    <row r="39" spans="3:5" x14ac:dyDescent="0.4">
      <c r="C39" s="291" t="s">
        <v>572</v>
      </c>
      <c r="D39" s="10">
        <v>0</v>
      </c>
      <c r="E39" s="27"/>
    </row>
    <row r="40" spans="3:5" x14ac:dyDescent="0.4">
      <c r="C40" s="568" t="s">
        <v>415</v>
      </c>
      <c r="D40" s="241">
        <f>(D38*C17)+(D37*D17)</f>
        <v>55500</v>
      </c>
      <c r="E40" s="242"/>
    </row>
    <row r="41" spans="3:5" x14ac:dyDescent="0.4">
      <c r="C41" s="34"/>
      <c r="D41" s="14"/>
      <c r="E41" s="27"/>
    </row>
    <row r="42" spans="3:5" x14ac:dyDescent="0.4">
      <c r="C42" s="567" t="s">
        <v>416</v>
      </c>
      <c r="D42" s="15"/>
      <c r="E42" s="28"/>
    </row>
    <row r="43" spans="3:5" x14ac:dyDescent="0.4">
      <c r="C43" s="99" t="s">
        <v>421</v>
      </c>
      <c r="D43" s="10">
        <f>C19*C5</f>
        <v>7000</v>
      </c>
      <c r="E43" s="29"/>
    </row>
    <row r="44" spans="3:5" x14ac:dyDescent="0.4">
      <c r="C44" s="291" t="s">
        <v>422</v>
      </c>
      <c r="D44" s="10">
        <f>C20*C5</f>
        <v>7000</v>
      </c>
      <c r="E44" s="29"/>
    </row>
    <row r="45" spans="3:5" x14ac:dyDescent="0.4">
      <c r="C45" s="568" t="s">
        <v>423</v>
      </c>
      <c r="D45" s="10">
        <f>C21*C5</f>
        <v>7000</v>
      </c>
      <c r="E45" s="29"/>
    </row>
    <row r="46" spans="3:5" x14ac:dyDescent="0.4">
      <c r="C46" s="118"/>
      <c r="E46" s="29"/>
    </row>
    <row r="47" spans="3:5" x14ac:dyDescent="0.4">
      <c r="C47" s="54" t="s">
        <v>409</v>
      </c>
      <c r="D47" s="16">
        <f>SUM(D37:D46)</f>
        <v>298500</v>
      </c>
      <c r="E47" s="55"/>
    </row>
    <row r="48" spans="3:5" x14ac:dyDescent="0.4">
      <c r="C48" s="56"/>
      <c r="D48" s="9"/>
      <c r="E48" s="57"/>
    </row>
    <row r="49" spans="2:5" x14ac:dyDescent="0.4">
      <c r="C49" s="58" t="s">
        <v>424</v>
      </c>
      <c r="D49" s="16">
        <f>D32+D47</f>
        <v>324725</v>
      </c>
      <c r="E49" s="55"/>
    </row>
    <row r="50" spans="2:5" x14ac:dyDescent="0.4">
      <c r="C50" s="59"/>
      <c r="D50" s="17"/>
      <c r="E50" s="57"/>
    </row>
    <row r="51" spans="2:5" ht="19.95" customHeight="1" x14ac:dyDescent="0.4">
      <c r="C51" s="265" t="s">
        <v>425</v>
      </c>
      <c r="D51" s="49"/>
      <c r="E51" s="50"/>
    </row>
    <row r="52" spans="2:5" ht="30" customHeight="1" x14ac:dyDescent="0.4">
      <c r="C52" s="32" t="s">
        <v>426</v>
      </c>
      <c r="D52" s="9"/>
      <c r="E52" s="27"/>
    </row>
    <row r="53" spans="2:5" ht="27.6" x14ac:dyDescent="0.4">
      <c r="C53" s="291" t="s">
        <v>427</v>
      </c>
      <c r="D53" s="569">
        <f>(D49*0.1)-D45</f>
        <v>25472.5</v>
      </c>
      <c r="E53" s="355" t="s">
        <v>859</v>
      </c>
    </row>
    <row r="54" spans="2:5" x14ac:dyDescent="0.4">
      <c r="C54" s="93"/>
      <c r="D54" s="78"/>
      <c r="E54" s="27"/>
    </row>
    <row r="55" spans="2:5" x14ac:dyDescent="0.4">
      <c r="C55" s="58" t="s">
        <v>429</v>
      </c>
      <c r="D55" s="16">
        <f>SUM(D53:D54)</f>
        <v>25472.5</v>
      </c>
      <c r="E55" s="55"/>
    </row>
    <row r="56" spans="2:5" x14ac:dyDescent="0.4">
      <c r="C56" s="59"/>
      <c r="D56" s="17"/>
      <c r="E56" s="57"/>
    </row>
    <row r="57" spans="2:5" ht="17.399999999999999" thickBot="1" x14ac:dyDescent="0.45">
      <c r="C57" s="59"/>
      <c r="D57" s="17"/>
      <c r="E57" s="57"/>
    </row>
    <row r="58" spans="2:5" ht="17.399999999999999" thickTop="1" x14ac:dyDescent="0.4">
      <c r="C58" s="564" t="s">
        <v>430</v>
      </c>
      <c r="D58" s="20">
        <f>D49+D55</f>
        <v>350197.5</v>
      </c>
      <c r="E58" s="30"/>
    </row>
    <row r="59" spans="2:5" ht="32.4" customHeight="1" thickBot="1" x14ac:dyDescent="0.45">
      <c r="C59" s="566" t="s">
        <v>477</v>
      </c>
      <c r="D59" s="21">
        <f>D58/C9</f>
        <v>1459.15625</v>
      </c>
      <c r="E59" s="124"/>
    </row>
    <row r="60" spans="2:5" ht="17.399999999999999" thickTop="1" x14ac:dyDescent="0.4">
      <c r="C60" s="1549" t="s">
        <v>974</v>
      </c>
      <c r="D60" s="1550"/>
      <c r="E60" s="1551"/>
    </row>
    <row r="61" spans="2:5" x14ac:dyDescent="0.4">
      <c r="C61" s="1532"/>
      <c r="D61" s="1376"/>
      <c r="E61" s="1533"/>
    </row>
    <row r="62" spans="2:5" x14ac:dyDescent="0.4">
      <c r="C62" s="1416"/>
      <c r="D62" s="1552"/>
      <c r="E62" s="1553"/>
    </row>
    <row r="63" spans="2:5" x14ac:dyDescent="0.4">
      <c r="C63" s="1358" t="s">
        <v>439</v>
      </c>
      <c r="D63" s="1359"/>
      <c r="E63" s="1378"/>
    </row>
    <row r="64" spans="2:5" x14ac:dyDescent="0.4">
      <c r="B64"/>
      <c r="C64" s="1428" t="s">
        <v>440</v>
      </c>
      <c r="D64" s="1429"/>
      <c r="E64" s="1546"/>
    </row>
    <row r="65" spans="1:5" x14ac:dyDescent="0.4">
      <c r="C65" s="1431"/>
      <c r="D65" s="1432"/>
      <c r="E65" s="1547"/>
    </row>
    <row r="66" spans="1:5" x14ac:dyDescent="0.4">
      <c r="C66" s="1434"/>
      <c r="D66" s="1435"/>
      <c r="E66" s="1548"/>
    </row>
    <row r="67" spans="1:5" x14ac:dyDescent="0.4">
      <c r="C67" s="1437" t="s">
        <v>975</v>
      </c>
      <c r="D67" s="1438"/>
      <c r="E67" s="1544"/>
    </row>
    <row r="68" spans="1:5" x14ac:dyDescent="0.4">
      <c r="C68" s="1418" t="s">
        <v>976</v>
      </c>
      <c r="D68" s="1311"/>
      <c r="E68" s="1545"/>
    </row>
    <row r="69" spans="1:5" x14ac:dyDescent="0.4">
      <c r="C69" s="1418" t="s">
        <v>977</v>
      </c>
      <c r="D69" s="1311"/>
      <c r="E69" s="1545"/>
    </row>
    <row r="70" spans="1:5" x14ac:dyDescent="0.4">
      <c r="C70" s="1155" t="s">
        <v>548</v>
      </c>
      <c r="D70" s="1133"/>
      <c r="E70" s="387"/>
    </row>
    <row r="71" spans="1:5" x14ac:dyDescent="0.4">
      <c r="A71" s="269"/>
      <c r="B71" s="353"/>
      <c r="C71" s="1346" t="s">
        <v>978</v>
      </c>
      <c r="D71" s="1347"/>
      <c r="E71" s="1348"/>
    </row>
  </sheetData>
  <mergeCells count="9">
    <mergeCell ref="C67:E67"/>
    <mergeCell ref="C68:E68"/>
    <mergeCell ref="C69:E69"/>
    <mergeCell ref="C71:E71"/>
    <mergeCell ref="C1:E1"/>
    <mergeCell ref="C63:E63"/>
    <mergeCell ref="C64:E66"/>
    <mergeCell ref="C3:D3"/>
    <mergeCell ref="C60:E62"/>
  </mergeCells>
  <hyperlinks>
    <hyperlink ref="C71:E71" r:id="rId1" display="Click here for more on WSIPP's PCIT Benefit-Cost Analysis" xr:uid="{29653808-E864-49C7-A5A9-E427E1AB81DB}"/>
  </hyperlinks>
  <pageMargins left="0.25" right="0.25" top="0.75" bottom="0.75" header="0.3" footer="0.3"/>
  <pageSetup scale="64" orientation="portrait" r:id="rId2"/>
  <rowBreaks count="1" manualBreakCount="1">
    <brk id="59" max="4" man="1"/>
  </rowBreaks>
  <colBreaks count="1" manualBreakCount="1">
    <brk id="5" max="1048575" man="1"/>
  </colBreaks>
  <drawing r:id="rId3"/>
  <legacyDrawing r:id="rId4"/>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ED6A2-13BC-4155-851C-9FFE6D6FA6E0}">
  <dimension ref="A1:Q84"/>
  <sheetViews>
    <sheetView zoomScale="80" zoomScaleNormal="80" workbookViewId="0">
      <selection activeCell="L64" sqref="L64"/>
    </sheetView>
  </sheetViews>
  <sheetFormatPr defaultColWidth="9" defaultRowHeight="16.8" x14ac:dyDescent="0.4"/>
  <cols>
    <col min="1" max="1" width="2.3984375" style="18" customWidth="1"/>
    <col min="2" max="2" width="36.5" style="18" customWidth="1"/>
    <col min="3" max="3" width="41.59765625" style="18" customWidth="1"/>
    <col min="4" max="4" width="35.5" style="18" customWidth="1"/>
    <col min="5" max="5" width="30" style="18" customWidth="1"/>
    <col min="6" max="6" width="36.3984375" style="18" customWidth="1"/>
    <col min="7" max="16384" width="9" style="18"/>
  </cols>
  <sheetData>
    <row r="1" spans="2:13" ht="84" customHeight="1" x14ac:dyDescent="0.4">
      <c r="B1" s="911" t="s">
        <v>368</v>
      </c>
      <c r="C1" s="1301" t="s">
        <v>979</v>
      </c>
      <c r="D1" s="1301"/>
      <c r="E1" s="1301"/>
      <c r="F1" s="1301"/>
    </row>
    <row r="2" spans="2:13" ht="60.6" customHeight="1" x14ac:dyDescent="0.4">
      <c r="C2" s="1314" t="s">
        <v>370</v>
      </c>
      <c r="D2" s="1314"/>
      <c r="E2" s="1314"/>
      <c r="F2" s="122"/>
    </row>
    <row r="3" spans="2:13" x14ac:dyDescent="0.4">
      <c r="C3" s="118"/>
      <c r="F3" s="122"/>
    </row>
    <row r="4" spans="2:13" s="372" customFormat="1" x14ac:dyDescent="0.4">
      <c r="B4" s="224" t="s">
        <v>371</v>
      </c>
      <c r="C4" s="927">
        <v>1</v>
      </c>
      <c r="F4" s="599"/>
    </row>
    <row r="5" spans="2:13" s="372" customFormat="1" x14ac:dyDescent="0.4">
      <c r="B5" s="224" t="s">
        <v>980</v>
      </c>
      <c r="C5" s="600">
        <v>15</v>
      </c>
      <c r="D5" s="512"/>
      <c r="E5" s="1134"/>
      <c r="F5" s="752"/>
    </row>
    <row r="6" spans="2:13" s="372" customFormat="1" x14ac:dyDescent="0.4">
      <c r="B6" s="224" t="s">
        <v>376</v>
      </c>
      <c r="C6" s="601">
        <f>C10+D10</f>
        <v>8</v>
      </c>
      <c r="F6" s="708"/>
    </row>
    <row r="7" spans="2:13" s="372" customFormat="1" ht="15" customHeight="1" x14ac:dyDescent="0.4">
      <c r="B7" s="224" t="s">
        <v>449</v>
      </c>
      <c r="C7" s="709">
        <f>C5*D10*(52/18)</f>
        <v>260</v>
      </c>
      <c r="D7" s="512"/>
      <c r="F7" s="708"/>
      <c r="I7" s="862"/>
    </row>
    <row r="8" spans="2:13" s="372" customFormat="1" x14ac:dyDescent="0.4">
      <c r="B8" s="627"/>
      <c r="C8" s="602"/>
      <c r="F8" s="753"/>
    </row>
    <row r="9" spans="2:13" s="372" customFormat="1" x14ac:dyDescent="0.4">
      <c r="B9" s="628"/>
      <c r="C9" s="603" t="s">
        <v>981</v>
      </c>
      <c r="D9" s="1145" t="s">
        <v>982</v>
      </c>
      <c r="E9" s="1145"/>
      <c r="F9" s="496"/>
    </row>
    <row r="10" spans="2:13" s="372" customFormat="1" ht="15" customHeight="1" x14ac:dyDescent="0.4">
      <c r="B10" s="626" t="s">
        <v>983</v>
      </c>
      <c r="C10" s="933">
        <v>2</v>
      </c>
      <c r="D10" s="940">
        <v>6</v>
      </c>
      <c r="E10" s="850"/>
      <c r="F10" s="754"/>
      <c r="M10" s="862"/>
    </row>
    <row r="11" spans="2:13" s="372" customFormat="1" ht="15" customHeight="1" x14ac:dyDescent="0.4">
      <c r="B11" s="224" t="s">
        <v>383</v>
      </c>
      <c r="C11" s="941">
        <v>45000</v>
      </c>
      <c r="D11" s="942">
        <v>40000</v>
      </c>
      <c r="E11" s="850"/>
      <c r="F11" s="863"/>
    </row>
    <row r="12" spans="2:13" s="372" customFormat="1" ht="15" customHeight="1" x14ac:dyDescent="0.4">
      <c r="B12" s="224" t="s">
        <v>384</v>
      </c>
      <c r="C12" s="943">
        <v>1</v>
      </c>
      <c r="D12" s="944">
        <v>1</v>
      </c>
      <c r="E12" s="612"/>
      <c r="F12" s="754"/>
    </row>
    <row r="13" spans="2:13" s="372" customFormat="1" ht="15" customHeight="1" x14ac:dyDescent="0.4">
      <c r="B13" s="224" t="s">
        <v>385</v>
      </c>
      <c r="C13" s="930">
        <v>0.25</v>
      </c>
      <c r="D13" s="930">
        <v>0.25</v>
      </c>
      <c r="E13" s="613"/>
      <c r="F13" s="754"/>
    </row>
    <row r="14" spans="2:13" s="372" customFormat="1" ht="15" customHeight="1" x14ac:dyDescent="0.4">
      <c r="B14" s="224"/>
      <c r="C14" s="604"/>
      <c r="D14" s="605"/>
      <c r="E14" s="611"/>
      <c r="F14" s="755"/>
    </row>
    <row r="15" spans="2:13" s="372" customFormat="1" ht="15" customHeight="1" x14ac:dyDescent="0.4">
      <c r="B15" s="224" t="s">
        <v>451</v>
      </c>
      <c r="C15" s="945">
        <v>0.57499999999999996</v>
      </c>
      <c r="D15" s="606"/>
      <c r="E15" s="606"/>
      <c r="F15" s="710"/>
    </row>
    <row r="16" spans="2:13" s="372" customFormat="1" ht="15" customHeight="1" x14ac:dyDescent="0.4">
      <c r="B16" s="224" t="s">
        <v>984</v>
      </c>
      <c r="C16" s="946">
        <v>400</v>
      </c>
      <c r="D16" s="606"/>
      <c r="E16" s="606"/>
      <c r="F16" s="710"/>
    </row>
    <row r="17" spans="2:17" s="372" customFormat="1" ht="15" customHeight="1" x14ac:dyDescent="0.4">
      <c r="B17" s="224" t="s">
        <v>590</v>
      </c>
      <c r="C17" s="947">
        <v>1</v>
      </c>
      <c r="D17" s="606"/>
      <c r="E17" s="606"/>
      <c r="F17" s="599"/>
    </row>
    <row r="18" spans="2:17" s="372" customFormat="1" ht="15" customHeight="1" x14ac:dyDescent="0.4">
      <c r="B18" s="224" t="s">
        <v>457</v>
      </c>
      <c r="C18" s="948">
        <v>1</v>
      </c>
      <c r="D18" s="606"/>
      <c r="E18" s="606"/>
      <c r="F18" s="599"/>
    </row>
    <row r="19" spans="2:17" s="372" customFormat="1" ht="15" customHeight="1" x14ac:dyDescent="0.4">
      <c r="B19" s="224" t="s">
        <v>458</v>
      </c>
      <c r="C19" s="949">
        <v>1</v>
      </c>
      <c r="D19" s="606"/>
      <c r="E19" s="606"/>
      <c r="F19" s="599"/>
    </row>
    <row r="20" spans="2:17" x14ac:dyDescent="0.4">
      <c r="B20" s="7"/>
      <c r="C20" s="236"/>
      <c r="D20" s="202"/>
      <c r="E20" s="202"/>
      <c r="F20" s="207"/>
    </row>
    <row r="21" spans="2:17" x14ac:dyDescent="0.4">
      <c r="B21" s="7"/>
      <c r="C21" s="809"/>
      <c r="D21" s="810"/>
      <c r="E21" s="810"/>
      <c r="F21" s="811"/>
    </row>
    <row r="22" spans="2:17" x14ac:dyDescent="0.4">
      <c r="B22" s="7"/>
      <c r="C22" s="1555" t="s">
        <v>985</v>
      </c>
      <c r="D22" s="1555"/>
      <c r="E22" s="1555"/>
      <c r="F22" s="1556"/>
    </row>
    <row r="23" spans="2:17" x14ac:dyDescent="0.4">
      <c r="B23" s="7"/>
      <c r="C23" s="1555"/>
      <c r="D23" s="1555"/>
      <c r="E23" s="1555"/>
      <c r="F23" s="1556"/>
    </row>
    <row r="24" spans="2:17" x14ac:dyDescent="0.4">
      <c r="B24" s="7"/>
      <c r="C24" s="1555"/>
      <c r="D24" s="1555"/>
      <c r="E24" s="1555"/>
      <c r="F24" s="1556"/>
    </row>
    <row r="25" spans="2:17" ht="20.25" customHeight="1" thickBot="1" x14ac:dyDescent="0.45">
      <c r="B25" s="7"/>
      <c r="C25" s="1557"/>
      <c r="D25" s="1557"/>
      <c r="E25" s="1557"/>
      <c r="F25" s="1558"/>
    </row>
    <row r="26" spans="2:17" ht="31.2" customHeight="1" thickTop="1" x14ac:dyDescent="0.55000000000000004">
      <c r="C26" s="39" t="s">
        <v>459</v>
      </c>
      <c r="D26" s="5"/>
      <c r="E26" s="5"/>
      <c r="F26" s="40"/>
    </row>
    <row r="27" spans="2:17" ht="13.2" customHeight="1" x14ac:dyDescent="0.4">
      <c r="C27" s="118"/>
      <c r="D27" s="289" t="s">
        <v>392</v>
      </c>
      <c r="E27" s="289" t="s">
        <v>393</v>
      </c>
      <c r="F27" s="290" t="s">
        <v>334</v>
      </c>
    </row>
    <row r="28" spans="2:17" ht="19.95" customHeight="1" x14ac:dyDescent="0.4">
      <c r="C28" s="265" t="s">
        <v>986</v>
      </c>
      <c r="D28" s="119"/>
      <c r="E28" s="119"/>
      <c r="F28" s="120"/>
    </row>
    <row r="29" spans="2:17" ht="25.2" customHeight="1" x14ac:dyDescent="0.4">
      <c r="C29" s="32" t="s">
        <v>900</v>
      </c>
      <c r="D29" s="42"/>
      <c r="E29" s="42"/>
      <c r="F29" s="43"/>
    </row>
    <row r="30" spans="2:17" ht="33.6" x14ac:dyDescent="0.4">
      <c r="C30" s="856" t="s">
        <v>987</v>
      </c>
      <c r="D30" s="10">
        <v>1890</v>
      </c>
      <c r="E30" s="200"/>
      <c r="F30" s="26"/>
      <c r="G30" s="851"/>
      <c r="H30" s="852"/>
    </row>
    <row r="31" spans="2:17" ht="33.6" x14ac:dyDescent="0.4">
      <c r="C31" s="293" t="s">
        <v>988</v>
      </c>
      <c r="D31" s="10">
        <f>C6*2822</f>
        <v>22576</v>
      </c>
      <c r="E31" s="98"/>
      <c r="F31" s="484" t="s">
        <v>989</v>
      </c>
      <c r="G31" s="853"/>
      <c r="H31" s="852"/>
      <c r="I31" s="608"/>
      <c r="Q31" s="864" t="s">
        <v>990</v>
      </c>
    </row>
    <row r="32" spans="2:17" ht="33.6" x14ac:dyDescent="0.4">
      <c r="C32" s="292" t="s">
        <v>991</v>
      </c>
      <c r="D32" s="10">
        <f>C10*5413</f>
        <v>10826</v>
      </c>
      <c r="E32" s="98"/>
      <c r="F32" s="484" t="s">
        <v>992</v>
      </c>
      <c r="G32" s="851"/>
      <c r="H32" s="852"/>
      <c r="I32" s="609"/>
    </row>
    <row r="33" spans="3:8" ht="26.25" customHeight="1" x14ac:dyDescent="0.4">
      <c r="C33" s="292" t="s">
        <v>993</v>
      </c>
      <c r="D33" s="102">
        <f>C4*3100</f>
        <v>3100</v>
      </c>
      <c r="E33" s="471"/>
      <c r="F33" s="855" t="s">
        <v>994</v>
      </c>
      <c r="G33" s="853"/>
      <c r="H33" s="852"/>
    </row>
    <row r="34" spans="3:8" ht="25.2" customHeight="1" x14ac:dyDescent="0.4">
      <c r="C34" s="407" t="s">
        <v>995</v>
      </c>
      <c r="D34" s="408"/>
      <c r="E34" s="243"/>
      <c r="F34" s="167"/>
      <c r="G34" s="864"/>
    </row>
    <row r="35" spans="3:8" ht="14.4" customHeight="1" x14ac:dyDescent="0.4">
      <c r="C35" s="292" t="s">
        <v>996</v>
      </c>
      <c r="D35" s="427"/>
      <c r="E35" s="10">
        <f>2000+((D10-4)*250)+((C10-1)*500)</f>
        <v>3000</v>
      </c>
      <c r="F35" s="461"/>
      <c r="G35" s="19"/>
    </row>
    <row r="36" spans="3:8" ht="14.4" customHeight="1" x14ac:dyDescent="0.4">
      <c r="C36" s="857" t="s">
        <v>997</v>
      </c>
      <c r="D36" s="463"/>
      <c r="E36" s="228">
        <f>5500*C4</f>
        <v>5500</v>
      </c>
      <c r="F36" s="468"/>
      <c r="G36" s="19"/>
    </row>
    <row r="37" spans="3:8" ht="25.2" customHeight="1" x14ac:dyDescent="0.4">
      <c r="C37" s="567" t="s">
        <v>412</v>
      </c>
      <c r="D37" s="9"/>
      <c r="E37" s="9"/>
      <c r="F37" s="26"/>
      <c r="G37" s="864"/>
    </row>
    <row r="38" spans="3:8" x14ac:dyDescent="0.4">
      <c r="C38" s="856" t="s">
        <v>998</v>
      </c>
      <c r="D38" s="10">
        <f>C11*C10*C12</f>
        <v>90000</v>
      </c>
      <c r="E38" s="10">
        <f>C11*C10*C12</f>
        <v>90000</v>
      </c>
      <c r="F38" s="26"/>
    </row>
    <row r="39" spans="3:8" x14ac:dyDescent="0.4">
      <c r="C39" s="856" t="s">
        <v>999</v>
      </c>
      <c r="D39" s="10">
        <f>D11*D10*D12</f>
        <v>240000</v>
      </c>
      <c r="E39" s="10">
        <f>D11*D10*D12</f>
        <v>240000</v>
      </c>
      <c r="F39" s="26"/>
    </row>
    <row r="40" spans="3:8" x14ac:dyDescent="0.4">
      <c r="C40" s="858" t="s">
        <v>415</v>
      </c>
      <c r="D40" s="241">
        <f>(D39*C13)+(D38*D13)</f>
        <v>82500</v>
      </c>
      <c r="E40" s="241">
        <f>(E39*C13)+(E38*D13)</f>
        <v>82500</v>
      </c>
      <c r="F40" s="242"/>
    </row>
    <row r="41" spans="3:8" ht="25.2" customHeight="1" x14ac:dyDescent="0.4">
      <c r="C41" s="567" t="s">
        <v>416</v>
      </c>
      <c r="D41" s="15"/>
      <c r="E41" s="15"/>
      <c r="F41" s="28"/>
    </row>
    <row r="42" spans="3:8" x14ac:dyDescent="0.4">
      <c r="C42" s="99" t="s">
        <v>536</v>
      </c>
      <c r="D42" s="209">
        <f>((C15*C16)*D10)*12</f>
        <v>16559.999999999996</v>
      </c>
      <c r="E42" s="209">
        <f>((C15*C16)*D10)*12</f>
        <v>16559.999999999996</v>
      </c>
      <c r="F42" s="53"/>
    </row>
    <row r="43" spans="3:8" x14ac:dyDescent="0.4">
      <c r="C43" s="558" t="s">
        <v>421</v>
      </c>
      <c r="D43" s="231">
        <f>C17*C4</f>
        <v>1</v>
      </c>
      <c r="E43" s="231">
        <f>C17*C4</f>
        <v>1</v>
      </c>
      <c r="F43" s="232"/>
    </row>
    <row r="44" spans="3:8" x14ac:dyDescent="0.4">
      <c r="C44" s="559" t="s">
        <v>422</v>
      </c>
      <c r="D44" s="228">
        <f>C18*C4</f>
        <v>1</v>
      </c>
      <c r="E44" s="228">
        <f>C18*C4</f>
        <v>1</v>
      </c>
      <c r="F44" s="232"/>
    </row>
    <row r="45" spans="3:8" x14ac:dyDescent="0.4">
      <c r="C45" s="607" t="s">
        <v>423</v>
      </c>
      <c r="D45" s="240">
        <f>C19*C4</f>
        <v>1</v>
      </c>
      <c r="E45" s="228">
        <f>C19*C4</f>
        <v>1</v>
      </c>
      <c r="F45" s="229"/>
    </row>
    <row r="46" spans="3:8" x14ac:dyDescent="0.4">
      <c r="C46" s="239"/>
      <c r="F46" s="28"/>
    </row>
    <row r="47" spans="3:8" x14ac:dyDescent="0.4">
      <c r="C47" s="58" t="s">
        <v>424</v>
      </c>
      <c r="D47" s="16">
        <f>SUM(D30:D46)</f>
        <v>467455</v>
      </c>
      <c r="E47" s="16">
        <f>SUM(E30:E46)</f>
        <v>437563</v>
      </c>
      <c r="F47" s="55"/>
    </row>
    <row r="48" spans="3:8" x14ac:dyDescent="0.4">
      <c r="C48" s="59"/>
      <c r="D48" s="17"/>
      <c r="E48" s="17"/>
      <c r="F48" s="57"/>
    </row>
    <row r="49" spans="3:7" ht="19.95" customHeight="1" x14ac:dyDescent="0.4">
      <c r="C49" s="265" t="s">
        <v>425</v>
      </c>
      <c r="D49" s="49"/>
      <c r="E49" s="49"/>
      <c r="F49" s="50"/>
    </row>
    <row r="50" spans="3:7" x14ac:dyDescent="0.4">
      <c r="C50" s="567" t="s">
        <v>426</v>
      </c>
      <c r="D50" s="9"/>
      <c r="E50" s="349"/>
      <c r="F50" s="352"/>
    </row>
    <row r="51" spans="3:7" ht="23.4" customHeight="1" x14ac:dyDescent="0.4">
      <c r="C51" s="291" t="s">
        <v>427</v>
      </c>
      <c r="D51" s="228">
        <f>(D47*0.1)-D45</f>
        <v>46744.5</v>
      </c>
      <c r="E51" s="228">
        <f>(E47*0.1)-E45</f>
        <v>43755.3</v>
      </c>
      <c r="F51" s="326" t="s">
        <v>859</v>
      </c>
      <c r="G51" s="19"/>
    </row>
    <row r="52" spans="3:7" ht="18" customHeight="1" x14ac:dyDescent="0.4">
      <c r="C52" s="60"/>
      <c r="D52" s="6"/>
      <c r="E52" s="350"/>
      <c r="F52" s="103"/>
    </row>
    <row r="53" spans="3:7" x14ac:dyDescent="0.4">
      <c r="C53" s="563" t="s">
        <v>429</v>
      </c>
      <c r="D53" s="16">
        <f>D51</f>
        <v>46744.5</v>
      </c>
      <c r="E53" s="251">
        <f>E51</f>
        <v>43755.3</v>
      </c>
      <c r="F53" s="252"/>
    </row>
    <row r="54" spans="3:7" x14ac:dyDescent="0.4">
      <c r="C54" s="59"/>
      <c r="D54" s="17"/>
      <c r="E54" s="17"/>
      <c r="F54" s="57"/>
    </row>
    <row r="55" spans="3:7" ht="17.399999999999999" thickBot="1" x14ac:dyDescent="0.45">
      <c r="C55" s="59"/>
      <c r="D55" s="17"/>
      <c r="E55" s="17"/>
      <c r="F55" s="57"/>
    </row>
    <row r="56" spans="3:7" ht="32.4" customHeight="1" thickTop="1" x14ac:dyDescent="0.4">
      <c r="C56" s="564" t="s">
        <v>430</v>
      </c>
      <c r="D56" s="20">
        <f>D47+D53</f>
        <v>514199.5</v>
      </c>
      <c r="E56" s="20">
        <f>E47+E53</f>
        <v>481318.3</v>
      </c>
      <c r="F56" s="30"/>
    </row>
    <row r="57" spans="3:7" ht="32.4" customHeight="1" x14ac:dyDescent="0.4">
      <c r="C57" s="565" t="s">
        <v>860</v>
      </c>
      <c r="D57" s="24">
        <f>D56/C7</f>
        <v>1977.6903846153846</v>
      </c>
      <c r="E57" s="24">
        <f>E56/C7</f>
        <v>1851.2242307692306</v>
      </c>
      <c r="F57" s="62"/>
    </row>
    <row r="58" spans="3:7" ht="26.25" customHeight="1" x14ac:dyDescent="0.45">
      <c r="C58" s="401"/>
      <c r="D58" s="402"/>
      <c r="E58" s="402"/>
      <c r="F58" s="403"/>
    </row>
    <row r="59" spans="3:7" x14ac:dyDescent="0.4">
      <c r="C59" s="274" t="s">
        <v>543</v>
      </c>
      <c r="F59" s="122"/>
    </row>
    <row r="60" spans="3:7" x14ac:dyDescent="0.4">
      <c r="C60" s="598" t="s">
        <v>1000</v>
      </c>
      <c r="D60" s="372"/>
      <c r="E60" s="372"/>
      <c r="F60" s="599"/>
    </row>
    <row r="61" spans="3:7" x14ac:dyDescent="0.4">
      <c r="C61" s="1559" t="s">
        <v>1001</v>
      </c>
      <c r="D61" s="1560"/>
      <c r="E61" s="1560"/>
      <c r="F61" s="1561"/>
    </row>
    <row r="62" spans="3:7" ht="36" customHeight="1" x14ac:dyDescent="0.4">
      <c r="C62" s="1562"/>
      <c r="D62" s="1562"/>
      <c r="E62" s="1562"/>
      <c r="F62" s="1563"/>
    </row>
    <row r="63" spans="3:7" ht="285" customHeight="1" x14ac:dyDescent="0.4">
      <c r="C63" s="598"/>
      <c r="D63" s="372"/>
      <c r="E63" s="372"/>
      <c r="F63" s="599"/>
    </row>
    <row r="64" spans="3:7" ht="30.75" customHeight="1" x14ac:dyDescent="0.4">
      <c r="C64" s="1532" t="s">
        <v>1002</v>
      </c>
      <c r="D64" s="1532"/>
      <c r="E64" s="1532"/>
      <c r="F64" s="1554"/>
    </row>
    <row r="65" spans="1:6" ht="21" customHeight="1" x14ac:dyDescent="0.4">
      <c r="C65" s="1564" t="s">
        <v>439</v>
      </c>
      <c r="D65" s="1565"/>
      <c r="E65" s="1565"/>
      <c r="F65" s="1566"/>
    </row>
    <row r="66" spans="1:6" ht="14.4" customHeight="1" x14ac:dyDescent="0.4">
      <c r="B66"/>
      <c r="C66" s="1567" t="s">
        <v>1003</v>
      </c>
      <c r="D66" s="1568"/>
      <c r="E66" s="1568"/>
      <c r="F66" s="1569"/>
    </row>
    <row r="67" spans="1:6" ht="14.4" customHeight="1" x14ac:dyDescent="0.4">
      <c r="C67" s="1567"/>
      <c r="D67" s="1568"/>
      <c r="E67" s="1568"/>
      <c r="F67" s="1569"/>
    </row>
    <row r="68" spans="1:6" ht="21.75" customHeight="1" x14ac:dyDescent="0.4">
      <c r="C68" s="1570"/>
      <c r="D68" s="1571"/>
      <c r="E68" s="1571"/>
      <c r="F68" s="1572"/>
    </row>
    <row r="69" spans="1:6" ht="18.75" customHeight="1" x14ac:dyDescent="0.4">
      <c r="C69" s="1573" t="s">
        <v>1004</v>
      </c>
      <c r="D69" s="1574"/>
      <c r="E69" s="1574"/>
      <c r="F69" s="1575"/>
    </row>
    <row r="70" spans="1:6" ht="19.5" customHeight="1" x14ac:dyDescent="0.4">
      <c r="C70" s="617" t="s">
        <v>1005</v>
      </c>
      <c r="D70" s="616"/>
      <c r="E70" s="616"/>
      <c r="F70" s="618"/>
    </row>
    <row r="71" spans="1:6" ht="19.5" customHeight="1" x14ac:dyDescent="0.4">
      <c r="C71" s="617" t="s">
        <v>1006</v>
      </c>
      <c r="D71" s="616"/>
      <c r="E71" s="616"/>
      <c r="F71" s="618"/>
    </row>
    <row r="72" spans="1:6" ht="19.5" customHeight="1" x14ac:dyDescent="0.4">
      <c r="A72" s="615"/>
      <c r="B72" s="615"/>
      <c r="C72" s="1576" t="s">
        <v>1007</v>
      </c>
      <c r="D72" s="1577"/>
      <c r="E72" s="616"/>
      <c r="F72" s="618"/>
    </row>
    <row r="73" spans="1:6" ht="24" customHeight="1" x14ac:dyDescent="0.4">
      <c r="A73" s="615"/>
      <c r="B73" s="615"/>
      <c r="C73" s="1578" t="s">
        <v>1008</v>
      </c>
      <c r="D73" s="1579"/>
      <c r="E73" s="1579"/>
      <c r="F73" s="1580"/>
    </row>
    <row r="74" spans="1:6" ht="19.5" customHeight="1" x14ac:dyDescent="0.4">
      <c r="A74" s="615"/>
      <c r="B74" s="615"/>
      <c r="C74" s="782"/>
      <c r="D74" s="782"/>
      <c r="E74" s="782"/>
      <c r="F74" s="782"/>
    </row>
    <row r="75" spans="1:6" ht="19.5" customHeight="1" x14ac:dyDescent="0.4">
      <c r="C75" s="278"/>
      <c r="D75" s="278"/>
      <c r="E75" s="278"/>
      <c r="F75" s="278"/>
    </row>
    <row r="76" spans="1:6" ht="19.5" customHeight="1" x14ac:dyDescent="0.4"/>
    <row r="77" spans="1:6" ht="19.5" customHeight="1" x14ac:dyDescent="0.4"/>
    <row r="78" spans="1:6" ht="19.5" customHeight="1" x14ac:dyDescent="0.4"/>
    <row r="79" spans="1:6" ht="19.5" customHeight="1" x14ac:dyDescent="0.4"/>
    <row r="80" spans="1:6" ht="19.5" customHeight="1" x14ac:dyDescent="0.4"/>
    <row r="81" spans="3:6" ht="19.5" customHeight="1" x14ac:dyDescent="0.4"/>
    <row r="82" spans="3:6" s="279" customFormat="1" ht="23.25" customHeight="1" x14ac:dyDescent="0.45">
      <c r="C82" s="18"/>
      <c r="D82" s="18"/>
      <c r="E82" s="18"/>
      <c r="F82" s="18"/>
    </row>
    <row r="84" spans="3:6" ht="14.4" customHeight="1" x14ac:dyDescent="0.4"/>
  </sheetData>
  <mergeCells count="10">
    <mergeCell ref="C65:F65"/>
    <mergeCell ref="C66:F68"/>
    <mergeCell ref="C69:F69"/>
    <mergeCell ref="C72:D72"/>
    <mergeCell ref="C73:F73"/>
    <mergeCell ref="C64:F64"/>
    <mergeCell ref="C1:F1"/>
    <mergeCell ref="C2:E2"/>
    <mergeCell ref="C22:F25"/>
    <mergeCell ref="C61:F62"/>
  </mergeCells>
  <hyperlinks>
    <hyperlink ref="C81" r:id="rId1" display="Click here for more on WSIPP's SafeCare Benefit-Cost Analysis" xr:uid="{CF3E8880-5EDB-4CEB-B573-B260747E20EA}"/>
    <hyperlink ref="C60" r:id="rId2" xr:uid="{700C71F8-5266-444D-8929-9A28701051A6}"/>
  </hyperlinks>
  <pageMargins left="0.7" right="0.7" top="0.75" bottom="0.75" header="0.3" footer="0.3"/>
  <pageSetup scale="44" orientation="portrait" r:id="rId3"/>
  <drawing r:id="rId4"/>
  <legacyDrawing r:id="rId5"/>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9ED76-5C42-4AA8-BF1D-75BC9521AE17}">
  <dimension ref="A1:I88"/>
  <sheetViews>
    <sheetView topLeftCell="B1" zoomScale="70" zoomScaleNormal="70" zoomScalePageLayoutView="90" workbookViewId="0">
      <selection activeCell="F32" sqref="F32"/>
    </sheetView>
  </sheetViews>
  <sheetFormatPr defaultColWidth="8.296875" defaultRowHeight="16.8" x14ac:dyDescent="0.4"/>
  <cols>
    <col min="1" max="1" width="2.19921875" style="18" customWidth="1"/>
    <col min="2" max="2" width="46" style="18" customWidth="1"/>
    <col min="3" max="3" width="48.19921875" style="18" customWidth="1"/>
    <col min="4" max="4" width="40.69921875" style="18" customWidth="1"/>
    <col min="5" max="5" width="50" style="18" customWidth="1"/>
    <col min="6" max="6" width="84" style="94" customWidth="1"/>
    <col min="7" max="7" width="15.296875" style="18" customWidth="1"/>
    <col min="8" max="16384" width="8.296875" style="18"/>
  </cols>
  <sheetData>
    <row r="1" spans="2:7" ht="82.5" customHeight="1" x14ac:dyDescent="0.4">
      <c r="B1" s="1090" t="s">
        <v>368</v>
      </c>
      <c r="C1" s="1586" t="s">
        <v>1038</v>
      </c>
      <c r="D1" s="1587"/>
      <c r="E1" s="1588"/>
      <c r="G1" s="1089"/>
    </row>
    <row r="2" spans="2:7" ht="16.95" customHeight="1" x14ac:dyDescent="0.4">
      <c r="B2" s="911"/>
      <c r="C2" s="331"/>
      <c r="D2" s="198"/>
      <c r="E2" s="199"/>
    </row>
    <row r="3" spans="2:7" ht="69" customHeight="1" x14ac:dyDescent="0.4">
      <c r="C3" s="1591" t="s">
        <v>1115</v>
      </c>
      <c r="D3" s="1592"/>
      <c r="E3" s="1257"/>
      <c r="F3" s="1265"/>
    </row>
    <row r="4" spans="2:7" ht="16.95" customHeight="1" x14ac:dyDescent="0.4">
      <c r="C4" s="118"/>
      <c r="E4" s="199"/>
      <c r="F4" s="1263"/>
      <c r="G4" s="1072"/>
    </row>
    <row r="5" spans="2:7" ht="16.95" customHeight="1" x14ac:dyDescent="0.4">
      <c r="B5" s="224" t="s">
        <v>371</v>
      </c>
      <c r="C5" s="927">
        <v>1</v>
      </c>
      <c r="E5" s="199"/>
      <c r="F5" s="1263"/>
      <c r="G5" s="1072"/>
    </row>
    <row r="6" spans="2:7" ht="16.95" customHeight="1" x14ac:dyDescent="0.4">
      <c r="B6" s="224" t="s">
        <v>1114</v>
      </c>
      <c r="C6" s="927">
        <v>25</v>
      </c>
      <c r="E6" s="199"/>
      <c r="F6" s="1072"/>
    </row>
    <row r="7" spans="2:7" ht="16.95" customHeight="1" x14ac:dyDescent="0.4">
      <c r="B7" s="224" t="s">
        <v>1039</v>
      </c>
      <c r="C7" s="927">
        <v>30</v>
      </c>
      <c r="E7" s="199"/>
      <c r="F7" s="1263"/>
      <c r="G7" s="1072"/>
    </row>
    <row r="8" spans="2:7" ht="16.95" customHeight="1" x14ac:dyDescent="0.4">
      <c r="B8" s="224" t="s">
        <v>1040</v>
      </c>
      <c r="C8" s="927">
        <v>1</v>
      </c>
      <c r="E8" s="199"/>
      <c r="F8" s="1263"/>
      <c r="G8" s="1072"/>
    </row>
    <row r="9" spans="2:7" ht="16.95" customHeight="1" x14ac:dyDescent="0.4">
      <c r="B9" s="224" t="s">
        <v>1041</v>
      </c>
      <c r="C9" s="927">
        <v>1</v>
      </c>
      <c r="E9" s="199"/>
      <c r="F9" s="1263"/>
      <c r="G9" s="1072"/>
    </row>
    <row r="10" spans="2:7" s="615" customFormat="1" ht="16.95" customHeight="1" x14ac:dyDescent="0.4">
      <c r="B10" s="635"/>
      <c r="C10" s="600"/>
      <c r="E10" s="1088"/>
      <c r="F10" s="1087"/>
      <c r="G10" s="1086"/>
    </row>
    <row r="11" spans="2:7" ht="16.95" customHeight="1" x14ac:dyDescent="0.4">
      <c r="B11" s="224" t="s">
        <v>1042</v>
      </c>
      <c r="C11" s="700">
        <f>(C6)+(C7)+C8+C9</f>
        <v>57</v>
      </c>
      <c r="E11" s="199"/>
      <c r="F11" s="1263"/>
      <c r="G11" s="1072"/>
    </row>
    <row r="12" spans="2:7" ht="16.95" customHeight="1" x14ac:dyDescent="0.4">
      <c r="B12" s="224" t="s">
        <v>621</v>
      </c>
      <c r="C12" s="700">
        <f>C16+C17+D16+D17</f>
        <v>2</v>
      </c>
      <c r="E12" s="199"/>
      <c r="F12" s="1263"/>
      <c r="G12" s="1072"/>
    </row>
    <row r="13" spans="2:7" ht="16.95" customHeight="1" x14ac:dyDescent="0.4">
      <c r="C13" s="118"/>
      <c r="E13" s="199"/>
      <c r="F13" s="1263"/>
      <c r="G13" s="1072"/>
    </row>
    <row r="14" spans="2:7" ht="101.55" customHeight="1" x14ac:dyDescent="0.4">
      <c r="B14" s="2"/>
      <c r="C14" s="1593" t="s">
        <v>1116</v>
      </c>
      <c r="D14" s="1594"/>
      <c r="E14" s="199"/>
      <c r="F14" s="1601"/>
      <c r="G14" s="1602"/>
    </row>
    <row r="15" spans="2:7" ht="16.95" customHeight="1" x14ac:dyDescent="0.4">
      <c r="B15" s="3"/>
      <c r="C15" s="1093" t="s">
        <v>512</v>
      </c>
      <c r="D15" s="1093" t="s">
        <v>1043</v>
      </c>
      <c r="E15" s="199"/>
      <c r="F15" s="1263"/>
      <c r="G15" s="1072"/>
    </row>
    <row r="16" spans="2:7" ht="76.95" customHeight="1" x14ac:dyDescent="0.4">
      <c r="B16" s="224" t="s">
        <v>1044</v>
      </c>
      <c r="C16" s="992"/>
      <c r="D16" s="992">
        <v>1</v>
      </c>
      <c r="E16" s="199"/>
      <c r="F16" s="1263"/>
      <c r="G16" s="1072"/>
    </row>
    <row r="17" spans="2:7" ht="16.95" customHeight="1" x14ac:dyDescent="0.4">
      <c r="B17" s="224" t="s">
        <v>1045</v>
      </c>
      <c r="C17" s="992"/>
      <c r="D17" s="992">
        <v>1</v>
      </c>
      <c r="E17" s="199"/>
      <c r="F17" s="1263"/>
      <c r="G17" s="1072"/>
    </row>
    <row r="18" spans="2:7" ht="16.95" customHeight="1" x14ac:dyDescent="0.4">
      <c r="B18" s="8"/>
      <c r="C18" s="1091"/>
      <c r="D18" s="1256"/>
      <c r="E18" s="199"/>
      <c r="F18" s="1263"/>
      <c r="G18" s="1072"/>
    </row>
    <row r="19" spans="2:7" ht="16.95" customHeight="1" x14ac:dyDescent="0.4">
      <c r="B19" s="7" t="s">
        <v>383</v>
      </c>
      <c r="C19" s="935">
        <v>60000</v>
      </c>
      <c r="D19" s="935">
        <v>50000</v>
      </c>
      <c r="E19" s="199"/>
      <c r="F19" s="1263"/>
      <c r="G19" s="1075"/>
    </row>
    <row r="20" spans="2:7" ht="16.95" customHeight="1" x14ac:dyDescent="0.4">
      <c r="B20" s="7" t="s">
        <v>384</v>
      </c>
      <c r="C20" s="936">
        <v>1</v>
      </c>
      <c r="D20" s="936">
        <v>1</v>
      </c>
      <c r="E20" s="199"/>
      <c r="F20" s="1263"/>
      <c r="G20" s="1072"/>
    </row>
    <row r="21" spans="2:7" ht="16.95" customHeight="1" x14ac:dyDescent="0.4">
      <c r="B21" s="7" t="s">
        <v>385</v>
      </c>
      <c r="C21" s="936">
        <v>0.3</v>
      </c>
      <c r="D21" s="936">
        <v>0.3</v>
      </c>
      <c r="E21" s="199"/>
      <c r="F21" s="1263"/>
      <c r="G21" s="1072"/>
    </row>
    <row r="22" spans="2:7" ht="16.95" customHeight="1" x14ac:dyDescent="0.4">
      <c r="B22" s="8" t="s">
        <v>1046</v>
      </c>
      <c r="C22" s="936">
        <v>0</v>
      </c>
      <c r="D22" s="936">
        <v>0.1</v>
      </c>
      <c r="E22" s="1085"/>
      <c r="F22" s="1263"/>
      <c r="G22" s="1072"/>
    </row>
    <row r="23" spans="2:7" ht="16.95" customHeight="1" x14ac:dyDescent="0.4">
      <c r="B23" s="7"/>
      <c r="C23" s="31"/>
      <c r="D23" s="4"/>
      <c r="E23" s="1085"/>
      <c r="F23" s="1263"/>
      <c r="G23" s="1072"/>
    </row>
    <row r="24" spans="2:7" ht="16.95" customHeight="1" x14ac:dyDescent="0.4">
      <c r="B24" s="224" t="s">
        <v>1010</v>
      </c>
      <c r="C24" s="932">
        <v>1</v>
      </c>
      <c r="D24" s="4"/>
      <c r="E24" s="1085"/>
      <c r="F24" s="1263"/>
      <c r="G24" s="1072"/>
    </row>
    <row r="25" spans="2:7" ht="16.95" customHeight="1" x14ac:dyDescent="0.4">
      <c r="B25" s="224" t="s">
        <v>967</v>
      </c>
      <c r="C25" s="932">
        <v>1</v>
      </c>
      <c r="D25" s="4"/>
      <c r="E25" s="1085"/>
      <c r="F25" s="1263"/>
      <c r="G25" s="1072"/>
    </row>
    <row r="26" spans="2:7" ht="16.95" customHeight="1" x14ac:dyDescent="0.4">
      <c r="B26" s="224" t="s">
        <v>1011</v>
      </c>
      <c r="C26" s="932">
        <v>1</v>
      </c>
      <c r="D26" s="4"/>
      <c r="E26" s="1085"/>
      <c r="F26" s="1263"/>
      <c r="G26" s="1072"/>
    </row>
    <row r="27" spans="2:7" ht="16.95" customHeight="1" x14ac:dyDescent="0.4">
      <c r="B27" s="7"/>
      <c r="C27" s="31"/>
      <c r="D27" s="4"/>
      <c r="E27" s="1085"/>
      <c r="F27" s="1263"/>
      <c r="G27" s="1072"/>
    </row>
    <row r="28" spans="2:7" ht="17.399999999999999" thickBot="1" x14ac:dyDescent="0.45">
      <c r="C28" s="1092"/>
      <c r="D28" s="924"/>
      <c r="E28" s="1084"/>
      <c r="F28" s="1263"/>
      <c r="G28" s="1072"/>
    </row>
    <row r="29" spans="2:7" ht="25.5" customHeight="1" thickTop="1" x14ac:dyDescent="0.55000000000000004">
      <c r="C29" s="39" t="s">
        <v>459</v>
      </c>
      <c r="D29" s="5"/>
      <c r="E29" s="40"/>
      <c r="F29" s="1263"/>
      <c r="G29" s="1072"/>
    </row>
    <row r="30" spans="2:7" ht="16.5" customHeight="1" x14ac:dyDescent="0.4">
      <c r="C30" s="118"/>
      <c r="D30" s="289" t="s">
        <v>392</v>
      </c>
      <c r="E30" s="1083" t="s">
        <v>334</v>
      </c>
      <c r="F30" s="1263"/>
      <c r="G30" s="1082"/>
    </row>
    <row r="31" spans="2:7" ht="39" customHeight="1" x14ac:dyDescent="0.4">
      <c r="C31" s="1067" t="s">
        <v>1047</v>
      </c>
      <c r="D31" s="119"/>
      <c r="E31" s="120"/>
      <c r="F31" s="1263"/>
      <c r="G31" s="1082"/>
    </row>
    <row r="32" spans="2:7" s="1080" customFormat="1" ht="73.05" customHeight="1" x14ac:dyDescent="0.4">
      <c r="C32" s="1094" t="s">
        <v>1048</v>
      </c>
      <c r="D32" s="1096">
        <f>2465*(C16+D16)</f>
        <v>2465</v>
      </c>
      <c r="E32" s="1238" t="s">
        <v>1113</v>
      </c>
      <c r="F32" s="1263"/>
      <c r="G32" s="1081"/>
    </row>
    <row r="33" spans="2:7" s="1080" customFormat="1" x14ac:dyDescent="0.4">
      <c r="C33" s="146" t="s">
        <v>1049</v>
      </c>
      <c r="D33" s="1095">
        <f>2465*(C17+D17)</f>
        <v>2465</v>
      </c>
      <c r="E33" s="167" t="s">
        <v>1113</v>
      </c>
      <c r="F33" s="1263"/>
      <c r="G33" s="1072"/>
    </row>
    <row r="34" spans="2:7" x14ac:dyDescent="0.4">
      <c r="C34" s="146" t="s">
        <v>1050</v>
      </c>
      <c r="D34" s="1098">
        <f>SUM(D32:D33)*(D22+C22)</f>
        <v>493</v>
      </c>
      <c r="E34" s="1099"/>
      <c r="F34" s="1059"/>
      <c r="G34" s="1075"/>
    </row>
    <row r="35" spans="2:7" x14ac:dyDescent="0.4">
      <c r="C35" s="47" t="s">
        <v>1051</v>
      </c>
      <c r="D35" s="1097">
        <f>SUM(D32:D34)</f>
        <v>5423</v>
      </c>
      <c r="E35" s="1255"/>
      <c r="F35" s="1263"/>
      <c r="G35" s="1075"/>
    </row>
    <row r="36" spans="2:7" x14ac:dyDescent="0.4">
      <c r="C36" s="33"/>
      <c r="D36" s="1065"/>
      <c r="E36" s="1079"/>
      <c r="F36" s="1263"/>
      <c r="G36" s="1072"/>
    </row>
    <row r="37" spans="2:7" x14ac:dyDescent="0.4">
      <c r="C37" s="1067" t="s">
        <v>1052</v>
      </c>
      <c r="D37" s="119"/>
      <c r="E37" s="1254"/>
      <c r="F37" s="1263"/>
      <c r="G37" s="1075"/>
    </row>
    <row r="38" spans="2:7" x14ac:dyDescent="0.4">
      <c r="C38" s="1071" t="s">
        <v>1053</v>
      </c>
      <c r="D38" s="1078">
        <f>125*(D16+D17)</f>
        <v>250</v>
      </c>
      <c r="E38" s="1253" t="s">
        <v>1112</v>
      </c>
      <c r="F38" s="1263"/>
      <c r="G38" s="1072"/>
    </row>
    <row r="39" spans="2:7" x14ac:dyDescent="0.4">
      <c r="C39" s="1077" t="s">
        <v>1054</v>
      </c>
      <c r="D39" s="1076">
        <v>235</v>
      </c>
      <c r="E39" s="1252" t="s">
        <v>1112</v>
      </c>
      <c r="F39" s="1263"/>
      <c r="G39" s="1075"/>
    </row>
    <row r="40" spans="2:7" ht="19.95" customHeight="1" x14ac:dyDescent="0.4">
      <c r="C40" s="47" t="s">
        <v>1055</v>
      </c>
      <c r="D40" s="1074">
        <f>SUM(D38:D39)</f>
        <v>485</v>
      </c>
      <c r="E40" s="1251"/>
      <c r="F40" s="1263"/>
      <c r="G40" s="1073"/>
    </row>
    <row r="41" spans="2:7" x14ac:dyDescent="0.4">
      <c r="C41" s="121"/>
      <c r="D41" s="9"/>
      <c r="E41" s="1250"/>
      <c r="F41" s="1263"/>
      <c r="G41" s="1072"/>
    </row>
    <row r="42" spans="2:7" ht="16.5" customHeight="1" x14ac:dyDescent="0.4">
      <c r="C42" s="1067" t="s">
        <v>410</v>
      </c>
      <c r="D42" s="49"/>
      <c r="E42" s="1249"/>
      <c r="F42" s="1263"/>
      <c r="G42" s="1072"/>
    </row>
    <row r="43" spans="2:7" ht="16.5" customHeight="1" x14ac:dyDescent="0.4">
      <c r="C43" s="1107"/>
      <c r="D43" s="349"/>
      <c r="E43" s="1248"/>
      <c r="F43" s="1263"/>
      <c r="G43" s="1072"/>
    </row>
    <row r="44" spans="2:7" s="19" customFormat="1" ht="16.2" customHeight="1" x14ac:dyDescent="0.4">
      <c r="B44" s="18"/>
      <c r="C44" s="1104" t="s">
        <v>1056</v>
      </c>
      <c r="D44" s="1243"/>
      <c r="E44" s="1247"/>
      <c r="F44" s="1263"/>
      <c r="G44" s="1059"/>
    </row>
    <row r="45" spans="2:7" s="19" customFormat="1" ht="16.2" customHeight="1" x14ac:dyDescent="0.4">
      <c r="B45" s="18"/>
      <c r="C45" s="1246" t="s">
        <v>1057</v>
      </c>
      <c r="D45" s="1102">
        <f>33.15*C6</f>
        <v>828.75</v>
      </c>
      <c r="E45" s="1238" t="s">
        <v>1110</v>
      </c>
      <c r="F45" s="1263"/>
      <c r="G45" s="1059"/>
    </row>
    <row r="46" spans="2:7" s="19" customFormat="1" ht="16.2" customHeight="1" x14ac:dyDescent="0.4">
      <c r="B46" s="18"/>
      <c r="C46" s="1100"/>
      <c r="D46" s="1101"/>
      <c r="E46" s="1245"/>
      <c r="F46" s="1263"/>
      <c r="G46" s="1059"/>
    </row>
    <row r="47" spans="2:7" s="19" customFormat="1" ht="16.2" customHeight="1" x14ac:dyDescent="0.4">
      <c r="B47" s="18"/>
      <c r="C47" s="1105" t="s">
        <v>1058</v>
      </c>
      <c r="D47" s="1241"/>
      <c r="E47" s="1244"/>
      <c r="F47" s="1263"/>
      <c r="G47" s="1059"/>
    </row>
    <row r="48" spans="2:7" s="19" customFormat="1" ht="16.2" customHeight="1" x14ac:dyDescent="0.4">
      <c r="B48" s="18"/>
      <c r="C48" s="1239" t="s">
        <v>1059</v>
      </c>
      <c r="D48" s="1243">
        <f>26.85*C7</f>
        <v>805.5</v>
      </c>
      <c r="E48" s="1168" t="s">
        <v>1111</v>
      </c>
      <c r="F48" s="1263"/>
      <c r="G48" s="1059"/>
    </row>
    <row r="49" spans="2:7" s="19" customFormat="1" ht="16.2" customHeight="1" x14ac:dyDescent="0.4">
      <c r="B49" s="18"/>
      <c r="C49" s="1071"/>
      <c r="D49" s="1101"/>
      <c r="E49" s="1242"/>
      <c r="F49" s="1263"/>
      <c r="G49" s="1059"/>
    </row>
    <row r="50" spans="2:7" s="19" customFormat="1" ht="16.2" customHeight="1" x14ac:dyDescent="0.4">
      <c r="B50" s="18"/>
      <c r="C50" s="1105" t="s">
        <v>1060</v>
      </c>
      <c r="D50" s="1241"/>
      <c r="E50" s="1244"/>
      <c r="F50" s="1263"/>
      <c r="G50" s="1059"/>
    </row>
    <row r="51" spans="2:7" s="19" customFormat="1" ht="16.2" customHeight="1" x14ac:dyDescent="0.4">
      <c r="B51" s="18"/>
      <c r="C51" s="1239" t="s">
        <v>1061</v>
      </c>
      <c r="D51" s="1243">
        <f>33.15*C8</f>
        <v>33.15</v>
      </c>
      <c r="E51" s="1168" t="s">
        <v>1110</v>
      </c>
      <c r="F51" s="1263"/>
      <c r="G51" s="1059"/>
    </row>
    <row r="52" spans="2:7" s="19" customFormat="1" ht="16.2" customHeight="1" x14ac:dyDescent="0.4">
      <c r="B52" s="18"/>
      <c r="C52" s="1071"/>
      <c r="D52" s="1101"/>
      <c r="E52" s="1242"/>
      <c r="F52" s="1263"/>
      <c r="G52" s="1059"/>
    </row>
    <row r="53" spans="2:7" s="19" customFormat="1" ht="16.2" customHeight="1" x14ac:dyDescent="0.4">
      <c r="B53" s="18"/>
      <c r="C53" s="1105" t="s">
        <v>1062</v>
      </c>
      <c r="D53" s="1241"/>
      <c r="E53" s="1240"/>
      <c r="F53" s="1263"/>
      <c r="G53" s="1059"/>
    </row>
    <row r="54" spans="2:7" s="19" customFormat="1" ht="16.2" customHeight="1" x14ac:dyDescent="0.4">
      <c r="B54" s="18"/>
      <c r="C54" s="1239" t="s">
        <v>1063</v>
      </c>
      <c r="D54" s="1102">
        <f>79.95*C9</f>
        <v>79.95</v>
      </c>
      <c r="E54" s="1238" t="s">
        <v>1109</v>
      </c>
      <c r="F54" s="1263"/>
      <c r="G54" s="1059"/>
    </row>
    <row r="55" spans="2:7" s="19" customFormat="1" ht="16.2" customHeight="1" x14ac:dyDescent="0.4">
      <c r="B55" s="18"/>
      <c r="C55" s="1103"/>
      <c r="D55" s="1102"/>
      <c r="E55" s="1237"/>
      <c r="F55" s="1263"/>
      <c r="G55" s="1059"/>
    </row>
    <row r="56" spans="2:7" s="19" customFormat="1" ht="16.2" customHeight="1" x14ac:dyDescent="0.4">
      <c r="B56" s="18"/>
      <c r="C56" s="1106" t="s">
        <v>412</v>
      </c>
      <c r="D56" s="1070"/>
      <c r="E56" s="1236"/>
      <c r="F56" s="1263"/>
      <c r="G56" s="1059"/>
    </row>
    <row r="57" spans="2:7" s="19" customFormat="1" ht="16.2" customHeight="1" x14ac:dyDescent="0.4">
      <c r="B57" s="18"/>
      <c r="C57" s="33" t="s">
        <v>1064</v>
      </c>
      <c r="D57" s="1065">
        <f>(SUM(C16:C17)*C19)</f>
        <v>0</v>
      </c>
      <c r="E57" s="1235" t="s">
        <v>1108</v>
      </c>
      <c r="F57" s="1263"/>
      <c r="G57" s="1059"/>
    </row>
    <row r="58" spans="2:7" s="19" customFormat="1" ht="16.2" customHeight="1" x14ac:dyDescent="0.4">
      <c r="B58" s="18"/>
      <c r="C58" s="33" t="s">
        <v>1065</v>
      </c>
      <c r="D58" s="1065">
        <f>(SUM(D16:D17)*D19)</f>
        <v>100000</v>
      </c>
      <c r="E58" s="590"/>
      <c r="F58" s="1263"/>
      <c r="G58" s="1059"/>
    </row>
    <row r="59" spans="2:7" s="19" customFormat="1" ht="16.2" customHeight="1" x14ac:dyDescent="0.4">
      <c r="B59" s="18"/>
      <c r="C59" s="33" t="s">
        <v>415</v>
      </c>
      <c r="D59" s="1069">
        <f>(D57*C21)+(D58*D21)</f>
        <v>30000</v>
      </c>
      <c r="E59" s="1234"/>
      <c r="F59" s="1263"/>
      <c r="G59" s="1059"/>
    </row>
    <row r="60" spans="2:7" s="19" customFormat="1" ht="16.2" customHeight="1" x14ac:dyDescent="0.4">
      <c r="B60" s="18"/>
      <c r="C60" s="118"/>
      <c r="D60" s="18"/>
      <c r="E60" s="1068"/>
      <c r="F60" s="1263"/>
      <c r="G60" s="1059"/>
    </row>
    <row r="61" spans="2:7" s="19" customFormat="1" x14ac:dyDescent="0.4">
      <c r="B61" s="18"/>
      <c r="C61" s="54" t="s">
        <v>1066</v>
      </c>
      <c r="D61" s="16">
        <f>SUM(D44:D60)</f>
        <v>131747.35</v>
      </c>
      <c r="E61" s="1062"/>
      <c r="F61" s="1263"/>
      <c r="G61" s="1059"/>
    </row>
    <row r="62" spans="2:7" s="19" customFormat="1" x14ac:dyDescent="0.4">
      <c r="B62" s="18"/>
      <c r="C62" s="56"/>
      <c r="D62" s="9"/>
      <c r="E62" s="1061"/>
      <c r="F62" s="1263"/>
      <c r="G62" s="1059"/>
    </row>
    <row r="63" spans="2:7" s="19" customFormat="1" x14ac:dyDescent="0.4">
      <c r="B63" s="18"/>
      <c r="C63" s="58" t="s">
        <v>424</v>
      </c>
      <c r="D63" s="16">
        <f>D40+D61+D35</f>
        <v>137655.35</v>
      </c>
      <c r="E63" s="1062"/>
      <c r="F63" s="1263"/>
      <c r="G63" s="1059"/>
    </row>
    <row r="64" spans="2:7" s="19" customFormat="1" x14ac:dyDescent="0.4">
      <c r="B64" s="18"/>
      <c r="C64" s="59"/>
      <c r="D64" s="17"/>
      <c r="E64" s="1061"/>
      <c r="F64" s="1263"/>
      <c r="G64" s="1059"/>
    </row>
    <row r="65" spans="2:9" s="19" customFormat="1" x14ac:dyDescent="0.4">
      <c r="B65" s="18"/>
      <c r="C65" s="1067" t="s">
        <v>425</v>
      </c>
      <c r="D65" s="49"/>
      <c r="E65" s="1066"/>
      <c r="F65" s="1263"/>
      <c r="G65" s="1059"/>
    </row>
    <row r="66" spans="2:9" s="19" customFormat="1" x14ac:dyDescent="0.4">
      <c r="B66" s="18"/>
      <c r="C66" s="32"/>
      <c r="D66" s="9"/>
      <c r="E66" s="1061"/>
      <c r="F66" s="1263"/>
      <c r="G66" s="1059"/>
    </row>
    <row r="67" spans="2:9" s="19" customFormat="1" x14ac:dyDescent="0.4">
      <c r="B67" s="18"/>
      <c r="C67" s="558" t="s">
        <v>421</v>
      </c>
      <c r="D67" s="1065">
        <f>C24*C5</f>
        <v>1</v>
      </c>
      <c r="E67" s="1064"/>
      <c r="F67" s="1263"/>
      <c r="G67" s="1059"/>
    </row>
    <row r="68" spans="2:9" s="19" customFormat="1" x14ac:dyDescent="0.4">
      <c r="B68" s="18"/>
      <c r="C68" s="559" t="s">
        <v>422</v>
      </c>
      <c r="D68" s="1065">
        <f>C25*C5</f>
        <v>1</v>
      </c>
      <c r="E68" s="1064"/>
      <c r="F68" s="1263"/>
      <c r="G68" s="1059"/>
    </row>
    <row r="69" spans="2:9" s="19" customFormat="1" x14ac:dyDescent="0.4">
      <c r="B69" s="18"/>
      <c r="C69" s="560" t="s">
        <v>423</v>
      </c>
      <c r="D69" s="1065">
        <f>C26*C5</f>
        <v>1</v>
      </c>
      <c r="E69" s="1064"/>
      <c r="F69" s="1263"/>
      <c r="G69" s="1059"/>
    </row>
    <row r="70" spans="2:9" s="19" customFormat="1" x14ac:dyDescent="0.4">
      <c r="B70" s="18"/>
      <c r="C70" s="33" t="s">
        <v>1067</v>
      </c>
      <c r="D70" s="1065">
        <f>D63*0.1</f>
        <v>13765.535000000002</v>
      </c>
      <c r="E70" s="1064"/>
      <c r="F70" s="1263"/>
      <c r="G70" s="1059"/>
    </row>
    <row r="71" spans="2:9" s="19" customFormat="1" x14ac:dyDescent="0.4">
      <c r="B71" s="18"/>
      <c r="C71" s="93"/>
      <c r="D71" s="1063"/>
      <c r="E71" s="1061"/>
      <c r="F71" s="1263"/>
      <c r="G71" s="1059"/>
    </row>
    <row r="72" spans="2:9" s="19" customFormat="1" x14ac:dyDescent="0.4">
      <c r="B72" s="18"/>
      <c r="C72" s="58" t="s">
        <v>429</v>
      </c>
      <c r="D72" s="16">
        <f>SUM(D67:D71)</f>
        <v>13768.535000000002</v>
      </c>
      <c r="E72" s="1062"/>
      <c r="F72" s="1263"/>
      <c r="G72" s="1059"/>
    </row>
    <row r="73" spans="2:9" s="19" customFormat="1" ht="17.399999999999999" thickBot="1" x14ac:dyDescent="0.45">
      <c r="B73" s="18"/>
      <c r="C73" s="1108"/>
      <c r="D73" s="1109"/>
      <c r="E73" s="1110"/>
      <c r="F73" s="1263"/>
      <c r="G73" s="1059"/>
    </row>
    <row r="74" spans="2:9" s="19" customFormat="1" ht="32.549999999999997" customHeight="1" thickTop="1" x14ac:dyDescent="0.4">
      <c r="B74" s="18"/>
      <c r="C74" s="35" t="s">
        <v>430</v>
      </c>
      <c r="D74" s="20">
        <f>D63+D72</f>
        <v>151423.88500000001</v>
      </c>
      <c r="E74" s="1111"/>
      <c r="F74" s="1263"/>
      <c r="G74" s="1059"/>
    </row>
    <row r="75" spans="2:9" s="19" customFormat="1" ht="32.549999999999997" customHeight="1" thickBot="1" x14ac:dyDescent="0.45">
      <c r="B75" s="18"/>
      <c r="C75" s="36" t="s">
        <v>477</v>
      </c>
      <c r="D75" s="21">
        <f>D74/C11</f>
        <v>2656.5593859649125</v>
      </c>
      <c r="E75" s="1060"/>
      <c r="F75" s="1263"/>
      <c r="G75" s="1059"/>
    </row>
    <row r="76" spans="2:9" s="19" customFormat="1" ht="17.399999999999999" thickTop="1" x14ac:dyDescent="0.4">
      <c r="B76" s="18"/>
      <c r="C76" s="1595" t="s">
        <v>1107</v>
      </c>
      <c r="D76" s="1596"/>
      <c r="E76" s="1597"/>
      <c r="F76" s="1263"/>
      <c r="G76" s="1059"/>
    </row>
    <row r="77" spans="2:9" s="19" customFormat="1" ht="39" customHeight="1" x14ac:dyDescent="0.4">
      <c r="B77" s="18"/>
      <c r="C77" s="1598"/>
      <c r="D77" s="1599"/>
      <c r="E77" s="1600"/>
      <c r="F77" s="1263"/>
      <c r="G77" s="1589"/>
      <c r="H77" s="1590"/>
      <c r="I77" s="1590"/>
    </row>
    <row r="78" spans="2:9" x14ac:dyDescent="0.4">
      <c r="C78" s="1598"/>
      <c r="D78" s="1599"/>
      <c r="E78" s="1600"/>
    </row>
    <row r="79" spans="2:9" ht="46.2" customHeight="1" x14ac:dyDescent="0.4">
      <c r="C79" s="1584" t="s">
        <v>1068</v>
      </c>
      <c r="D79" s="1322"/>
      <c r="E79" s="1585"/>
    </row>
    <row r="80" spans="2:9" x14ac:dyDescent="0.4">
      <c r="C80" s="1581" t="s">
        <v>439</v>
      </c>
      <c r="D80" s="1582"/>
      <c r="E80" s="1583"/>
    </row>
    <row r="81" spans="1:5" x14ac:dyDescent="0.4">
      <c r="C81" s="1428" t="s">
        <v>440</v>
      </c>
      <c r="D81" s="1429"/>
      <c r="E81" s="1546"/>
    </row>
    <row r="82" spans="1:5" x14ac:dyDescent="0.4">
      <c r="C82" s="1431"/>
      <c r="D82" s="1432"/>
      <c r="E82" s="1547"/>
    </row>
    <row r="83" spans="1:5" x14ac:dyDescent="0.4">
      <c r="C83" s="1434"/>
      <c r="D83" s="1435"/>
      <c r="E83" s="1548"/>
    </row>
    <row r="84" spans="1:5" x14ac:dyDescent="0.4">
      <c r="C84" s="1437" t="s">
        <v>1069</v>
      </c>
      <c r="D84" s="1438"/>
      <c r="E84" s="1544"/>
    </row>
    <row r="85" spans="1:5" x14ac:dyDescent="0.4">
      <c r="C85" s="1418" t="s">
        <v>1070</v>
      </c>
      <c r="D85" s="1311"/>
      <c r="E85" s="1545"/>
    </row>
    <row r="86" spans="1:5" x14ac:dyDescent="0.4">
      <c r="C86" s="1418" t="s">
        <v>1071</v>
      </c>
      <c r="D86" s="1311"/>
      <c r="E86" s="1545"/>
    </row>
    <row r="87" spans="1:5" x14ac:dyDescent="0.4">
      <c r="C87" s="1264" t="s">
        <v>1072</v>
      </c>
      <c r="D87" s="1262"/>
      <c r="E87" s="387"/>
    </row>
    <row r="88" spans="1:5" x14ac:dyDescent="0.4">
      <c r="A88" s="269"/>
      <c r="B88" s="353"/>
      <c r="C88" s="1603" t="s">
        <v>1073</v>
      </c>
      <c r="D88" s="1604"/>
      <c r="E88" s="1605"/>
    </row>
  </sheetData>
  <mergeCells count="13">
    <mergeCell ref="C81:E83"/>
    <mergeCell ref="C84:E84"/>
    <mergeCell ref="C85:E85"/>
    <mergeCell ref="C86:E86"/>
    <mergeCell ref="C88:E88"/>
    <mergeCell ref="C80:E80"/>
    <mergeCell ref="C79:E79"/>
    <mergeCell ref="C1:E1"/>
    <mergeCell ref="G77:I77"/>
    <mergeCell ref="C3:D3"/>
    <mergeCell ref="C14:D14"/>
    <mergeCell ref="C76:E78"/>
    <mergeCell ref="F14:G14"/>
  </mergeCells>
  <hyperlinks>
    <hyperlink ref="C88:E88" r:id="rId1" display="Click here for more on WSIPP's Benefit-Cost Analysis" xr:uid="{02A653FA-8DA4-4168-BBEC-82B8A852CCDA}"/>
  </hyperlinks>
  <pageMargins left="0.7" right="0.7" top="0.75" bottom="0.75" header="0.3" footer="0.3"/>
  <pageSetup orientation="portrait" r:id="rId2"/>
  <drawing r:id="rId3"/>
  <legacyDrawing r:id="rId4"/>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77"/>
  <sheetViews>
    <sheetView zoomScale="110" zoomScaleNormal="110" workbookViewId="0">
      <selection activeCell="E6" sqref="E6:E7"/>
    </sheetView>
  </sheetViews>
  <sheetFormatPr defaultColWidth="9" defaultRowHeight="16.8" x14ac:dyDescent="0.4"/>
  <cols>
    <col min="1" max="1" width="2.3984375" style="18" customWidth="1"/>
    <col min="2" max="2" width="41.3984375" style="18" customWidth="1"/>
    <col min="3" max="5" width="40.69921875" style="18" customWidth="1"/>
    <col min="6" max="16384" width="9" style="18"/>
  </cols>
  <sheetData>
    <row r="1" spans="2:5" ht="79.5" customHeight="1" x14ac:dyDescent="0.4">
      <c r="B1" s="911" t="s">
        <v>368</v>
      </c>
      <c r="C1" s="1301" t="s">
        <v>1009</v>
      </c>
      <c r="D1" s="1301"/>
      <c r="E1" s="1301"/>
    </row>
    <row r="2" spans="2:5" ht="16.95" customHeight="1" x14ac:dyDescent="0.4">
      <c r="B2" s="1"/>
      <c r="C2" s="331"/>
      <c r="D2" s="198"/>
      <c r="E2" s="199"/>
    </row>
    <row r="3" spans="2:5" ht="63" customHeight="1" x14ac:dyDescent="0.4">
      <c r="C3" s="1498" t="s">
        <v>370</v>
      </c>
      <c r="D3" s="1498"/>
      <c r="E3" s="122"/>
    </row>
    <row r="4" spans="2:5" x14ac:dyDescent="0.4">
      <c r="C4" s="118"/>
      <c r="E4" s="122"/>
    </row>
    <row r="5" spans="2:5" s="372" customFormat="1" x14ac:dyDescent="0.4">
      <c r="B5" s="224" t="s">
        <v>371</v>
      </c>
      <c r="C5" s="927">
        <v>1</v>
      </c>
      <c r="E5" s="599"/>
    </row>
    <row r="6" spans="2:5" s="372" customFormat="1" ht="15.6" customHeight="1" x14ac:dyDescent="0.4">
      <c r="B6" s="224" t="s">
        <v>447</v>
      </c>
      <c r="C6" s="927">
        <v>1</v>
      </c>
      <c r="E6" s="1617"/>
    </row>
    <row r="7" spans="2:5" s="1261" customFormat="1" x14ac:dyDescent="0.4">
      <c r="B7" s="1258" t="s">
        <v>750</v>
      </c>
      <c r="C7" s="1259">
        <f>(D12*15)*3</f>
        <v>225</v>
      </c>
      <c r="D7" s="1260"/>
      <c r="E7" s="1617"/>
    </row>
    <row r="8" spans="2:5" s="372" customFormat="1" x14ac:dyDescent="0.4">
      <c r="B8" s="224" t="s">
        <v>621</v>
      </c>
      <c r="C8" s="819">
        <f>C12+D12+E12</f>
        <v>6</v>
      </c>
      <c r="E8" s="672"/>
    </row>
    <row r="9" spans="2:5" s="372" customFormat="1" x14ac:dyDescent="0.4">
      <c r="B9" s="627"/>
      <c r="C9" s="602"/>
      <c r="E9" s="599"/>
    </row>
    <row r="10" spans="2:5" s="372" customFormat="1" x14ac:dyDescent="0.4">
      <c r="B10" s="628"/>
      <c r="C10" s="603" t="s">
        <v>379</v>
      </c>
      <c r="D10" s="1145" t="s">
        <v>380</v>
      </c>
      <c r="E10" s="667"/>
    </row>
    <row r="11" spans="2:5" s="372" customFormat="1" x14ac:dyDescent="0.4">
      <c r="B11" s="626" t="s">
        <v>584</v>
      </c>
      <c r="C11" s="933">
        <v>1</v>
      </c>
      <c r="D11" s="934">
        <v>5</v>
      </c>
      <c r="E11" s="746"/>
    </row>
    <row r="12" spans="2:5" s="372" customFormat="1" x14ac:dyDescent="0.4">
      <c r="B12" s="224" t="s">
        <v>382</v>
      </c>
      <c r="C12" s="596">
        <f>C11*$C$6</f>
        <v>1</v>
      </c>
      <c r="D12" s="210">
        <f>D11*C6</f>
        <v>5</v>
      </c>
      <c r="E12" s="746"/>
    </row>
    <row r="13" spans="2:5" s="372" customFormat="1" x14ac:dyDescent="0.4">
      <c r="B13" s="224" t="s">
        <v>383</v>
      </c>
      <c r="C13" s="935">
        <v>50000</v>
      </c>
      <c r="D13" s="929">
        <v>43000</v>
      </c>
      <c r="E13" s="747"/>
    </row>
    <row r="14" spans="2:5" s="372" customFormat="1" x14ac:dyDescent="0.4">
      <c r="B14" s="224" t="s">
        <v>384</v>
      </c>
      <c r="C14" s="936">
        <v>0.5</v>
      </c>
      <c r="D14" s="937">
        <v>1</v>
      </c>
      <c r="E14" s="747"/>
    </row>
    <row r="15" spans="2:5" s="372" customFormat="1" x14ac:dyDescent="0.4">
      <c r="B15" s="224" t="s">
        <v>385</v>
      </c>
      <c r="C15" s="930">
        <v>0.25</v>
      </c>
      <c r="D15" s="930">
        <v>0.25</v>
      </c>
      <c r="E15" s="747"/>
    </row>
    <row r="16" spans="2:5" s="372" customFormat="1" x14ac:dyDescent="0.4">
      <c r="B16" s="224"/>
      <c r="C16" s="604"/>
      <c r="D16" s="605"/>
      <c r="E16" s="747"/>
    </row>
    <row r="17" spans="2:6" s="372" customFormat="1" x14ac:dyDescent="0.4">
      <c r="B17" s="224" t="s">
        <v>1010</v>
      </c>
      <c r="C17" s="938">
        <v>7000</v>
      </c>
      <c r="D17" s="748"/>
      <c r="E17" s="747"/>
    </row>
    <row r="18" spans="2:6" s="372" customFormat="1" x14ac:dyDescent="0.4">
      <c r="B18" s="224" t="s">
        <v>967</v>
      </c>
      <c r="C18" s="939">
        <v>7000</v>
      </c>
      <c r="D18" s="749"/>
      <c r="E18" s="747"/>
    </row>
    <row r="19" spans="2:6" s="372" customFormat="1" x14ac:dyDescent="0.4">
      <c r="B19" s="224" t="s">
        <v>1011</v>
      </c>
      <c r="C19" s="938">
        <v>7000</v>
      </c>
      <c r="D19" s="749"/>
      <c r="E19" s="747"/>
    </row>
    <row r="20" spans="2:6" s="372" customFormat="1" ht="11.4" customHeight="1" x14ac:dyDescent="0.4">
      <c r="B20" s="713"/>
      <c r="C20" s="714"/>
      <c r="D20" s="639"/>
      <c r="E20" s="672"/>
    </row>
    <row r="21" spans="2:6" s="372" customFormat="1" ht="46.95" customHeight="1" x14ac:dyDescent="0.4">
      <c r="B21" s="713"/>
      <c r="C21" s="1487" t="s">
        <v>1012</v>
      </c>
      <c r="D21" s="1487"/>
      <c r="E21" s="1619"/>
    </row>
    <row r="22" spans="2:6" s="372" customFormat="1" ht="14.4" customHeight="1" x14ac:dyDescent="0.4">
      <c r="B22" s="224" t="s">
        <v>1013</v>
      </c>
      <c r="C22" s="1618"/>
      <c r="D22" s="1618"/>
      <c r="E22" s="1618"/>
      <c r="F22" s="750"/>
    </row>
    <row r="23" spans="2:6" s="372" customFormat="1" ht="14.4" customHeight="1" x14ac:dyDescent="0.4">
      <c r="B23" s="224" t="s">
        <v>1014</v>
      </c>
      <c r="C23" s="1618">
        <f>6000*C5</f>
        <v>6000</v>
      </c>
      <c r="D23" s="1618"/>
      <c r="E23" s="1618"/>
      <c r="F23" s="751"/>
    </row>
    <row r="24" spans="2:6" ht="14.4" customHeight="1" thickBot="1" x14ac:dyDescent="0.45">
      <c r="B24" s="1"/>
      <c r="C24" s="923"/>
      <c r="D24" s="924"/>
      <c r="E24" s="498"/>
    </row>
    <row r="25" spans="2:6" ht="31.2" customHeight="1" thickTop="1" x14ac:dyDescent="0.55000000000000004">
      <c r="C25" s="39" t="s">
        <v>1015</v>
      </c>
      <c r="D25" s="5"/>
      <c r="E25" s="40"/>
    </row>
    <row r="26" spans="2:6" ht="13.2" customHeight="1" x14ac:dyDescent="0.4">
      <c r="C26" s="118"/>
      <c r="D26" s="289" t="s">
        <v>392</v>
      </c>
      <c r="E26" s="290" t="s">
        <v>334</v>
      </c>
    </row>
    <row r="27" spans="2:6" ht="19.95" customHeight="1" x14ac:dyDescent="0.4">
      <c r="C27" s="265" t="s">
        <v>1016</v>
      </c>
      <c r="D27" s="119"/>
      <c r="E27" s="419"/>
    </row>
    <row r="28" spans="2:6" ht="21.6" customHeight="1" x14ac:dyDescent="0.4">
      <c r="C28" s="99" t="s">
        <v>1017</v>
      </c>
      <c r="D28" s="100">
        <f>35*D12</f>
        <v>175</v>
      </c>
      <c r="E28" s="417" t="s">
        <v>1018</v>
      </c>
      <c r="F28" s="19"/>
    </row>
    <row r="29" spans="2:6" ht="14.4" customHeight="1" x14ac:dyDescent="0.4">
      <c r="C29" s="33" t="s">
        <v>1019</v>
      </c>
      <c r="D29" s="10">
        <f>C22*D12</f>
        <v>0</v>
      </c>
      <c r="E29" s="418"/>
    </row>
    <row r="30" spans="2:6" ht="14.4" customHeight="1" x14ac:dyDescent="0.4">
      <c r="C30" s="413" t="s">
        <v>1020</v>
      </c>
      <c r="D30" s="10">
        <f>C23*C5</f>
        <v>6000</v>
      </c>
      <c r="E30" s="418"/>
    </row>
    <row r="31" spans="2:6" ht="14.4" customHeight="1" x14ac:dyDescent="0.4">
      <c r="C31" s="33" t="s">
        <v>1021</v>
      </c>
      <c r="D31" s="10">
        <f>(250)*12</f>
        <v>3000</v>
      </c>
      <c r="E31" s="418"/>
    </row>
    <row r="32" spans="2:6" x14ac:dyDescent="0.4">
      <c r="C32" s="44"/>
      <c r="D32" s="98"/>
      <c r="E32" s="97"/>
    </row>
    <row r="33" spans="3:6" s="372" customFormat="1" ht="19.95" customHeight="1" x14ac:dyDescent="0.4">
      <c r="C33" s="265" t="s">
        <v>1022</v>
      </c>
      <c r="D33" s="494"/>
      <c r="E33" s="678"/>
    </row>
    <row r="34" spans="3:6" ht="23.4" customHeight="1" x14ac:dyDescent="0.4">
      <c r="C34" s="101" t="s">
        <v>1023</v>
      </c>
      <c r="D34" s="123"/>
      <c r="E34" s="45" t="s">
        <v>1024</v>
      </c>
      <c r="F34" s="19"/>
    </row>
    <row r="35" spans="3:6" x14ac:dyDescent="0.4">
      <c r="C35" s="44" t="s">
        <v>1025</v>
      </c>
      <c r="D35" s="10"/>
      <c r="E35" s="45" t="s">
        <v>1026</v>
      </c>
    </row>
    <row r="36" spans="3:6" x14ac:dyDescent="0.4">
      <c r="C36" s="46" t="s">
        <v>1027</v>
      </c>
      <c r="D36" s="10"/>
      <c r="E36" s="45" t="s">
        <v>1028</v>
      </c>
      <c r="F36" s="19"/>
    </row>
    <row r="37" spans="3:6" x14ac:dyDescent="0.4">
      <c r="C37" s="46" t="s">
        <v>1029</v>
      </c>
      <c r="E37" s="45" t="s">
        <v>1030</v>
      </c>
      <c r="F37" s="19"/>
    </row>
    <row r="38" spans="3:6" x14ac:dyDescent="0.4">
      <c r="C38" s="33"/>
      <c r="D38" s="10"/>
      <c r="E38" s="45"/>
    </row>
    <row r="39" spans="3:6" x14ac:dyDescent="0.4">
      <c r="C39" s="47" t="s">
        <v>409</v>
      </c>
      <c r="D39" s="12">
        <f>SUM(D28:D38)</f>
        <v>9175</v>
      </c>
      <c r="E39" s="48"/>
    </row>
    <row r="40" spans="3:6" x14ac:dyDescent="0.4">
      <c r="C40" s="121"/>
      <c r="D40" s="9"/>
      <c r="E40" s="27"/>
    </row>
    <row r="41" spans="3:6" ht="19.95" customHeight="1" x14ac:dyDescent="0.4">
      <c r="C41" s="265" t="s">
        <v>410</v>
      </c>
      <c r="D41" s="49"/>
      <c r="E41" s="50"/>
    </row>
    <row r="42" spans="3:6" x14ac:dyDescent="0.4">
      <c r="C42" s="51"/>
      <c r="D42" s="13"/>
      <c r="E42" s="26"/>
    </row>
    <row r="43" spans="3:6" x14ac:dyDescent="0.4">
      <c r="C43" s="32" t="s">
        <v>412</v>
      </c>
      <c r="D43" s="9"/>
      <c r="E43" s="26"/>
    </row>
    <row r="44" spans="3:6" x14ac:dyDescent="0.4">
      <c r="C44" s="33" t="s">
        <v>414</v>
      </c>
      <c r="D44" s="10">
        <f>C13*C12*C14</f>
        <v>25000</v>
      </c>
      <c r="E44" s="26"/>
    </row>
    <row r="45" spans="3:6" x14ac:dyDescent="0.4">
      <c r="C45" s="33" t="s">
        <v>413</v>
      </c>
      <c r="D45" s="10">
        <f>D13*D12*D14</f>
        <v>215000</v>
      </c>
      <c r="E45" s="26"/>
    </row>
    <row r="46" spans="3:6" x14ac:dyDescent="0.4">
      <c r="C46" s="52" t="s">
        <v>415</v>
      </c>
      <c r="D46" s="11">
        <f>(D45*C15)+(D44*D15)</f>
        <v>60000</v>
      </c>
      <c r="E46" s="53"/>
    </row>
    <row r="47" spans="3:6" x14ac:dyDescent="0.4">
      <c r="C47" s="211"/>
      <c r="D47" s="212"/>
      <c r="E47" s="213"/>
    </row>
    <row r="48" spans="3:6" x14ac:dyDescent="0.4">
      <c r="C48" s="220" t="s">
        <v>416</v>
      </c>
      <c r="D48" s="218"/>
      <c r="E48" s="213"/>
    </row>
    <row r="49" spans="3:5" x14ac:dyDescent="0.4">
      <c r="C49" s="221" t="s">
        <v>421</v>
      </c>
      <c r="D49" s="217">
        <f>C17</f>
        <v>7000</v>
      </c>
      <c r="E49" s="213"/>
    </row>
    <row r="50" spans="3:5" x14ac:dyDescent="0.4">
      <c r="C50" s="221" t="s">
        <v>422</v>
      </c>
      <c r="D50" s="217">
        <f>C18*C5</f>
        <v>7000</v>
      </c>
      <c r="E50" s="214"/>
    </row>
    <row r="51" spans="3:5" x14ac:dyDescent="0.4">
      <c r="C51" s="222" t="s">
        <v>423</v>
      </c>
      <c r="D51" s="219">
        <f>C19*C5</f>
        <v>7000</v>
      </c>
      <c r="E51" s="213"/>
    </row>
    <row r="52" spans="3:5" x14ac:dyDescent="0.4">
      <c r="C52" s="215"/>
      <c r="D52" s="216"/>
      <c r="E52" s="103"/>
    </row>
    <row r="53" spans="3:5" x14ac:dyDescent="0.4">
      <c r="C53" s="54" t="s">
        <v>409</v>
      </c>
      <c r="D53" s="16">
        <f>SUM(D44:D51)</f>
        <v>321000</v>
      </c>
      <c r="E53" s="55"/>
    </row>
    <row r="54" spans="3:5" x14ac:dyDescent="0.4">
      <c r="C54" s="56"/>
      <c r="D54" s="9"/>
      <c r="E54" s="57"/>
    </row>
    <row r="55" spans="3:5" x14ac:dyDescent="0.4">
      <c r="C55" s="58" t="s">
        <v>424</v>
      </c>
      <c r="D55" s="16">
        <f>D39+D53</f>
        <v>330175</v>
      </c>
      <c r="E55" s="55"/>
    </row>
    <row r="56" spans="3:5" x14ac:dyDescent="0.4">
      <c r="C56" s="59"/>
      <c r="D56" s="17"/>
      <c r="E56" s="57"/>
    </row>
    <row r="57" spans="3:5" ht="19.95" customHeight="1" x14ac:dyDescent="0.4">
      <c r="C57" s="265" t="s">
        <v>425</v>
      </c>
      <c r="D57" s="49"/>
      <c r="E57" s="50"/>
    </row>
    <row r="58" spans="3:5" x14ac:dyDescent="0.4">
      <c r="C58" s="32" t="s">
        <v>426</v>
      </c>
      <c r="D58" s="9"/>
      <c r="E58" s="27"/>
    </row>
    <row r="59" spans="3:5" ht="27.6" x14ac:dyDescent="0.4">
      <c r="C59" s="291" t="s">
        <v>427</v>
      </c>
      <c r="D59" s="10">
        <f>(D55*0.1)-D51</f>
        <v>26017.5</v>
      </c>
      <c r="E59" s="326" t="s">
        <v>859</v>
      </c>
    </row>
    <row r="60" spans="3:5" x14ac:dyDescent="0.4">
      <c r="C60" s="60"/>
      <c r="D60" s="6"/>
      <c r="E60" s="29"/>
    </row>
    <row r="61" spans="3:5" x14ac:dyDescent="0.4">
      <c r="C61" s="58" t="s">
        <v>429</v>
      </c>
      <c r="D61" s="16">
        <f>SUM(D59:D60)</f>
        <v>26017.5</v>
      </c>
      <c r="E61" s="55"/>
    </row>
    <row r="62" spans="3:5" ht="17.399999999999999" thickBot="1" x14ac:dyDescent="0.45">
      <c r="C62" s="59"/>
      <c r="D62" s="17"/>
      <c r="E62" s="57"/>
    </row>
    <row r="63" spans="3:5" ht="32.4" customHeight="1" thickTop="1" x14ac:dyDescent="0.4">
      <c r="C63" s="35" t="s">
        <v>430</v>
      </c>
      <c r="D63" s="20">
        <f>D55+D61</f>
        <v>356192.5</v>
      </c>
      <c r="E63" s="30"/>
    </row>
    <row r="64" spans="3:5" ht="32.4" customHeight="1" thickBot="1" x14ac:dyDescent="0.45">
      <c r="C64" s="661" t="s">
        <v>477</v>
      </c>
      <c r="D64" s="662">
        <f>D63/C7</f>
        <v>1583.0777777777778</v>
      </c>
      <c r="E64" s="663" t="s">
        <v>540</v>
      </c>
    </row>
    <row r="65" spans="1:5" ht="21" customHeight="1" thickTop="1" x14ac:dyDescent="0.4">
      <c r="C65" s="1609" t="s">
        <v>1031</v>
      </c>
      <c r="D65" s="1610"/>
      <c r="E65" s="1611"/>
    </row>
    <row r="66" spans="1:5" ht="14.4" customHeight="1" x14ac:dyDescent="0.4">
      <c r="C66" s="1612"/>
      <c r="D66" s="1613"/>
      <c r="E66" s="1614"/>
    </row>
    <row r="67" spans="1:5" ht="25.95" customHeight="1" x14ac:dyDescent="0.4">
      <c r="C67" s="1615"/>
      <c r="D67" s="1307"/>
      <c r="E67" s="1616"/>
    </row>
    <row r="68" spans="1:5" x14ac:dyDescent="0.4">
      <c r="C68" s="1581" t="s">
        <v>439</v>
      </c>
      <c r="D68" s="1582"/>
      <c r="E68" s="1583"/>
    </row>
    <row r="69" spans="1:5" x14ac:dyDescent="0.4">
      <c r="B69"/>
      <c r="C69" s="1428" t="s">
        <v>440</v>
      </c>
      <c r="D69" s="1429"/>
      <c r="E69" s="1546"/>
    </row>
    <row r="70" spans="1:5" x14ac:dyDescent="0.4">
      <c r="C70" s="1431"/>
      <c r="D70" s="1432"/>
      <c r="E70" s="1547"/>
    </row>
    <row r="71" spans="1:5" x14ac:dyDescent="0.4">
      <c r="C71" s="1434"/>
      <c r="D71" s="1435"/>
      <c r="E71" s="1548"/>
    </row>
    <row r="72" spans="1:5" x14ac:dyDescent="0.4">
      <c r="C72" s="1437" t="s">
        <v>1032</v>
      </c>
      <c r="D72" s="1438"/>
      <c r="E72" s="1544"/>
    </row>
    <row r="73" spans="1:5" ht="19.5" customHeight="1" x14ac:dyDescent="0.4">
      <c r="C73" s="1606" t="s">
        <v>1033</v>
      </c>
      <c r="D73" s="1607"/>
      <c r="E73" s="1608"/>
    </row>
    <row r="74" spans="1:5" x14ac:dyDescent="0.4">
      <c r="C74" s="1418" t="s">
        <v>1034</v>
      </c>
      <c r="D74" s="1311"/>
      <c r="E74" s="1545"/>
    </row>
    <row r="75" spans="1:5" x14ac:dyDescent="0.4">
      <c r="C75" s="1418" t="s">
        <v>1035</v>
      </c>
      <c r="D75" s="1311"/>
      <c r="E75" s="1545"/>
    </row>
    <row r="76" spans="1:5" x14ac:dyDescent="0.4">
      <c r="C76" s="1155" t="s">
        <v>1036</v>
      </c>
      <c r="D76" s="1133"/>
      <c r="E76" s="387"/>
    </row>
    <row r="77" spans="1:5" x14ac:dyDescent="0.4">
      <c r="A77" s="269"/>
      <c r="B77" s="353"/>
      <c r="C77" s="1346" t="s">
        <v>1037</v>
      </c>
      <c r="D77" s="1347"/>
      <c r="E77" s="1348"/>
    </row>
  </sheetData>
  <mergeCells count="14">
    <mergeCell ref="C65:E67"/>
    <mergeCell ref="C1:E1"/>
    <mergeCell ref="E6:E7"/>
    <mergeCell ref="C22:E22"/>
    <mergeCell ref="C21:E21"/>
    <mergeCell ref="C23:E23"/>
    <mergeCell ref="C3:D3"/>
    <mergeCell ref="C77:E77"/>
    <mergeCell ref="C68:E68"/>
    <mergeCell ref="C69:E71"/>
    <mergeCell ref="C72:E72"/>
    <mergeCell ref="C74:E74"/>
    <mergeCell ref="C75:E75"/>
    <mergeCell ref="C73:E73"/>
  </mergeCells>
  <hyperlinks>
    <hyperlink ref="C77:E77" r:id="rId1" display="Click here for more on WSIPP's CBT-based models for child trauma Benefit-Cost Analysis" xr:uid="{B0CACCF4-E806-48E1-A406-424ED329BCCD}"/>
  </hyperlinks>
  <pageMargins left="0.25" right="0.25" top="0.75" bottom="0.75" header="0.3" footer="0.3"/>
  <pageSetup scale="69" orientation="portrait" r:id="rId2"/>
  <colBreaks count="1" manualBreakCount="1">
    <brk id="5" max="1048575" man="1"/>
  </col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DE141-8209-4C51-BB6B-4F80717596F7}">
  <dimension ref="A1:Q63"/>
  <sheetViews>
    <sheetView tabSelected="1" topLeftCell="H1" zoomScale="60" zoomScaleNormal="60" workbookViewId="0">
      <pane ySplit="4" topLeftCell="A22" activePane="bottomLeft" state="frozen"/>
      <selection pane="bottomLeft" activeCell="P22" sqref="P22"/>
    </sheetView>
  </sheetViews>
  <sheetFormatPr defaultColWidth="9" defaultRowHeight="15" x14ac:dyDescent="0.35"/>
  <cols>
    <col min="1" max="1" width="37.5" style="66" customWidth="1"/>
    <col min="2" max="2" width="75.69921875" style="70" customWidth="1"/>
    <col min="3" max="3" width="38.59765625" style="67" customWidth="1"/>
    <col min="4" max="4" width="60.19921875" style="67" customWidth="1"/>
    <col min="5" max="5" width="39.5" style="67" customWidth="1"/>
    <col min="6" max="6" width="35.59765625" style="67" customWidth="1"/>
    <col min="7" max="7" width="30.59765625" style="67" customWidth="1"/>
    <col min="8" max="9" width="35.59765625" style="67" customWidth="1"/>
    <col min="10" max="10" width="45.19921875" style="67" customWidth="1"/>
    <col min="11" max="11" width="31.69921875" style="67" customWidth="1"/>
    <col min="12" max="12" width="44.19921875" style="68" customWidth="1"/>
    <col min="13" max="13" width="22.8984375" style="68" customWidth="1"/>
    <col min="14" max="14" width="20.59765625" style="68" customWidth="1"/>
    <col min="15" max="15" width="33.69921875" style="69" customWidth="1"/>
    <col min="16" max="16" width="18.8984375" style="96" customWidth="1"/>
    <col min="17" max="16384" width="9" style="67"/>
  </cols>
  <sheetData>
    <row r="1" spans="1:17" ht="119.25" hidden="1" customHeight="1" x14ac:dyDescent="0.4">
      <c r="A1" s="1278" t="s">
        <v>66</v>
      </c>
      <c r="B1" s="1278"/>
      <c r="C1" s="1278"/>
    </row>
    <row r="2" spans="1:17" ht="25.5" hidden="1" customHeight="1" x14ac:dyDescent="0.35">
      <c r="A2" s="901" t="s">
        <v>67</v>
      </c>
      <c r="B2" s="902"/>
      <c r="D2" s="901"/>
      <c r="E2" s="901"/>
      <c r="F2" s="901"/>
      <c r="G2" s="901"/>
      <c r="H2" s="901"/>
      <c r="I2" s="901"/>
      <c r="J2" s="901"/>
      <c r="K2" s="904"/>
      <c r="L2" s="905"/>
      <c r="M2" s="905"/>
      <c r="N2" s="905"/>
      <c r="O2" s="905"/>
      <c r="P2" s="904"/>
    </row>
    <row r="3" spans="1:17" s="900" customFormat="1" ht="40.200000000000003" hidden="1" customHeight="1" x14ac:dyDescent="0.35">
      <c r="A3" s="1277" t="s">
        <v>3</v>
      </c>
      <c r="B3" s="1277"/>
      <c r="C3" s="1277"/>
      <c r="D3" s="1277"/>
      <c r="E3" s="1277"/>
      <c r="F3" s="1277"/>
      <c r="G3" s="1277"/>
      <c r="H3" s="1277"/>
      <c r="I3" s="1277"/>
      <c r="J3" s="1277"/>
      <c r="K3" s="1277"/>
      <c r="L3" s="1277"/>
      <c r="M3" s="1277"/>
      <c r="N3" s="1277"/>
      <c r="O3" s="1277"/>
      <c r="P3" s="1277"/>
    </row>
    <row r="4" spans="1:17" s="71" customFormat="1" ht="106.2" customHeight="1" x14ac:dyDescent="0.4">
      <c r="A4" s="906" t="s">
        <v>68</v>
      </c>
      <c r="B4" s="906" t="s">
        <v>69</v>
      </c>
      <c r="C4" s="906" t="s">
        <v>70</v>
      </c>
      <c r="D4" s="906" t="s">
        <v>71</v>
      </c>
      <c r="E4" s="906" t="s">
        <v>72</v>
      </c>
      <c r="F4" s="906" t="s">
        <v>73</v>
      </c>
      <c r="G4" s="906" t="s">
        <v>74</v>
      </c>
      <c r="H4" s="906" t="s">
        <v>75</v>
      </c>
      <c r="I4" s="906" t="s">
        <v>76</v>
      </c>
      <c r="J4" s="906" t="s">
        <v>77</v>
      </c>
      <c r="K4" s="906" t="s">
        <v>78</v>
      </c>
      <c r="L4" s="906" t="s">
        <v>79</v>
      </c>
      <c r="M4" s="906" t="s">
        <v>80</v>
      </c>
      <c r="N4" s="906" t="s">
        <v>81</v>
      </c>
      <c r="O4" s="906" t="s">
        <v>82</v>
      </c>
      <c r="P4" s="906" t="s">
        <v>83</v>
      </c>
    </row>
    <row r="5" spans="1:17" s="226" customFormat="1" ht="252" x14ac:dyDescent="0.4">
      <c r="A5" s="903" t="s">
        <v>84</v>
      </c>
      <c r="B5" s="832" t="s">
        <v>85</v>
      </c>
      <c r="C5" s="832" t="s">
        <v>86</v>
      </c>
      <c r="D5" s="832" t="s">
        <v>87</v>
      </c>
      <c r="E5" s="832" t="s">
        <v>88</v>
      </c>
      <c r="F5" s="832" t="s">
        <v>89</v>
      </c>
      <c r="G5" s="833" t="s">
        <v>90</v>
      </c>
      <c r="H5" s="832" t="s">
        <v>91</v>
      </c>
      <c r="I5" s="832" t="s">
        <v>92</v>
      </c>
      <c r="J5" s="834" t="s">
        <v>93</v>
      </c>
      <c r="K5" s="835" t="s">
        <v>94</v>
      </c>
      <c r="L5" s="836" t="s">
        <v>95</v>
      </c>
      <c r="M5" s="837" t="s">
        <v>96</v>
      </c>
      <c r="N5" s="837" t="s">
        <v>97</v>
      </c>
      <c r="O5" s="836" t="s">
        <v>1106</v>
      </c>
      <c r="P5" s="838">
        <v>44312</v>
      </c>
    </row>
    <row r="6" spans="1:17" s="68" customFormat="1" ht="300" customHeight="1" x14ac:dyDescent="0.4">
      <c r="A6" s="903" t="s">
        <v>13</v>
      </c>
      <c r="B6" s="832" t="s">
        <v>98</v>
      </c>
      <c r="C6" s="832" t="s">
        <v>99</v>
      </c>
      <c r="D6" s="832" t="s">
        <v>100</v>
      </c>
      <c r="E6" s="832" t="s">
        <v>101</v>
      </c>
      <c r="F6" s="832" t="s">
        <v>102</v>
      </c>
      <c r="G6" s="839" t="s">
        <v>103</v>
      </c>
      <c r="H6" s="832" t="s">
        <v>104</v>
      </c>
      <c r="I6" s="832" t="s">
        <v>105</v>
      </c>
      <c r="J6" s="834" t="s">
        <v>106</v>
      </c>
      <c r="K6" s="832" t="s">
        <v>107</v>
      </c>
      <c r="L6" s="837" t="s">
        <v>108</v>
      </c>
      <c r="M6" s="840" t="s">
        <v>109</v>
      </c>
      <c r="N6" s="841" t="s">
        <v>110</v>
      </c>
      <c r="O6" s="840" t="s">
        <v>111</v>
      </c>
      <c r="P6" s="842">
        <v>44334</v>
      </c>
    </row>
    <row r="7" spans="1:17" s="68" customFormat="1" ht="269.25" customHeight="1" x14ac:dyDescent="0.4">
      <c r="A7" s="903" t="s">
        <v>112</v>
      </c>
      <c r="B7" s="843" t="s">
        <v>113</v>
      </c>
      <c r="C7" s="843" t="s">
        <v>114</v>
      </c>
      <c r="D7" s="843" t="s">
        <v>115</v>
      </c>
      <c r="E7" s="843" t="s">
        <v>116</v>
      </c>
      <c r="F7" s="843" t="s">
        <v>117</v>
      </c>
      <c r="G7" s="841" t="s">
        <v>118</v>
      </c>
      <c r="H7" s="843" t="s">
        <v>119</v>
      </c>
      <c r="I7" s="841" t="s">
        <v>120</v>
      </c>
      <c r="J7" s="844" t="s">
        <v>121</v>
      </c>
      <c r="K7" s="843" t="s">
        <v>122</v>
      </c>
      <c r="L7" s="841" t="s">
        <v>123</v>
      </c>
      <c r="M7" s="841" t="s">
        <v>124</v>
      </c>
      <c r="N7" s="841" t="s">
        <v>125</v>
      </c>
      <c r="O7" s="841" t="s">
        <v>126</v>
      </c>
      <c r="P7" s="845">
        <v>44294</v>
      </c>
    </row>
    <row r="8" spans="1:17" s="70" customFormat="1" ht="300" customHeight="1" x14ac:dyDescent="0.4">
      <c r="A8" s="903" t="s">
        <v>127</v>
      </c>
      <c r="B8" s="839" t="s">
        <v>128</v>
      </c>
      <c r="C8" s="839" t="s">
        <v>129</v>
      </c>
      <c r="D8" s="839" t="s">
        <v>130</v>
      </c>
      <c r="E8" s="839" t="s">
        <v>131</v>
      </c>
      <c r="F8" s="832" t="s">
        <v>132</v>
      </c>
      <c r="G8" s="839" t="s">
        <v>118</v>
      </c>
      <c r="H8" s="839" t="s">
        <v>133</v>
      </c>
      <c r="I8" s="839" t="s">
        <v>134</v>
      </c>
      <c r="J8" s="839" t="s">
        <v>135</v>
      </c>
      <c r="K8" s="839" t="s">
        <v>136</v>
      </c>
      <c r="L8" s="837" t="s">
        <v>137</v>
      </c>
      <c r="M8" s="836" t="s">
        <v>96</v>
      </c>
      <c r="N8" s="841" t="s">
        <v>97</v>
      </c>
      <c r="O8" s="840" t="s">
        <v>138</v>
      </c>
      <c r="P8" s="845">
        <v>44298</v>
      </c>
    </row>
    <row r="9" spans="1:17" s="70" customFormat="1" ht="300" customHeight="1" x14ac:dyDescent="0.4">
      <c r="A9" s="903" t="s">
        <v>17</v>
      </c>
      <c r="B9" s="832" t="s">
        <v>139</v>
      </c>
      <c r="C9" s="832" t="s">
        <v>140</v>
      </c>
      <c r="D9" s="832" t="s">
        <v>141</v>
      </c>
      <c r="E9" s="832" t="s">
        <v>142</v>
      </c>
      <c r="F9" s="832" t="s">
        <v>143</v>
      </c>
      <c r="G9" s="843" t="s">
        <v>144</v>
      </c>
      <c r="H9" s="832" t="s">
        <v>145</v>
      </c>
      <c r="I9" s="843" t="s">
        <v>146</v>
      </c>
      <c r="J9" s="832" t="s">
        <v>147</v>
      </c>
      <c r="K9" s="846" t="s">
        <v>148</v>
      </c>
      <c r="L9" s="836" t="s">
        <v>8</v>
      </c>
      <c r="M9" s="837" t="s">
        <v>124</v>
      </c>
      <c r="N9" s="841" t="s">
        <v>125</v>
      </c>
      <c r="O9" s="839" t="s">
        <v>149</v>
      </c>
      <c r="P9" s="842">
        <v>44292</v>
      </c>
    </row>
    <row r="10" spans="1:17" s="70" customFormat="1" ht="300" customHeight="1" x14ac:dyDescent="0.4">
      <c r="A10" s="903" t="s">
        <v>150</v>
      </c>
      <c r="B10" s="832" t="s">
        <v>151</v>
      </c>
      <c r="C10" s="832" t="s">
        <v>152</v>
      </c>
      <c r="D10" s="832" t="s">
        <v>153</v>
      </c>
      <c r="E10" s="832" t="s">
        <v>154</v>
      </c>
      <c r="F10" s="832" t="s">
        <v>155</v>
      </c>
      <c r="G10" s="843" t="s">
        <v>156</v>
      </c>
      <c r="H10" s="843" t="s">
        <v>157</v>
      </c>
      <c r="I10" s="843" t="s">
        <v>158</v>
      </c>
      <c r="J10" s="832" t="s">
        <v>159</v>
      </c>
      <c r="K10" s="832" t="s">
        <v>160</v>
      </c>
      <c r="L10" s="837" t="s">
        <v>123</v>
      </c>
      <c r="M10" s="837" t="s">
        <v>96</v>
      </c>
      <c r="N10" s="841" t="s">
        <v>97</v>
      </c>
      <c r="O10" s="839" t="s">
        <v>161</v>
      </c>
      <c r="P10" s="845">
        <v>44322</v>
      </c>
      <c r="Q10" s="105"/>
    </row>
    <row r="11" spans="1:17" s="68" customFormat="1" ht="300" customHeight="1" x14ac:dyDescent="0.4">
      <c r="A11" s="903" t="s">
        <v>20</v>
      </c>
      <c r="B11" s="832" t="s">
        <v>162</v>
      </c>
      <c r="C11" s="843" t="s">
        <v>163</v>
      </c>
      <c r="D11" s="832" t="s">
        <v>164</v>
      </c>
      <c r="E11" s="832" t="s">
        <v>165</v>
      </c>
      <c r="F11" s="832" t="s">
        <v>166</v>
      </c>
      <c r="G11" s="847" t="s">
        <v>167</v>
      </c>
      <c r="H11" s="832" t="s">
        <v>168</v>
      </c>
      <c r="I11" s="1028" t="s">
        <v>169</v>
      </c>
      <c r="J11" s="832" t="s">
        <v>170</v>
      </c>
      <c r="K11" s="832" t="s">
        <v>171</v>
      </c>
      <c r="L11" s="837" t="s">
        <v>8</v>
      </c>
      <c r="M11" s="837" t="s">
        <v>96</v>
      </c>
      <c r="N11" s="841" t="s">
        <v>97</v>
      </c>
      <c r="O11" s="839" t="s">
        <v>172</v>
      </c>
      <c r="P11" s="842">
        <v>44316</v>
      </c>
    </row>
    <row r="12" spans="1:17" ht="300" customHeight="1" x14ac:dyDescent="0.35">
      <c r="A12" s="903" t="s">
        <v>21</v>
      </c>
      <c r="B12" s="833" t="s">
        <v>173</v>
      </c>
      <c r="C12" s="848" t="s">
        <v>174</v>
      </c>
      <c r="D12" s="848" t="s">
        <v>175</v>
      </c>
      <c r="E12" s="833" t="s">
        <v>176</v>
      </c>
      <c r="F12" s="833" t="s">
        <v>177</v>
      </c>
      <c r="G12" s="833" t="s">
        <v>178</v>
      </c>
      <c r="H12" s="833" t="s">
        <v>179</v>
      </c>
      <c r="I12" s="833" t="s">
        <v>180</v>
      </c>
      <c r="J12" s="833" t="s">
        <v>181</v>
      </c>
      <c r="K12" s="833" t="s">
        <v>182</v>
      </c>
      <c r="L12" s="837" t="s">
        <v>8</v>
      </c>
      <c r="M12" s="836" t="s">
        <v>96</v>
      </c>
      <c r="N12" s="841" t="s">
        <v>97</v>
      </c>
      <c r="O12" s="840" t="s">
        <v>183</v>
      </c>
      <c r="P12" s="842">
        <v>44316</v>
      </c>
    </row>
    <row r="13" spans="1:17" ht="300" customHeight="1" x14ac:dyDescent="0.35">
      <c r="A13" s="903" t="s">
        <v>184</v>
      </c>
      <c r="B13" s="839" t="s">
        <v>185</v>
      </c>
      <c r="C13" s="839" t="s">
        <v>186</v>
      </c>
      <c r="D13" s="839" t="s">
        <v>187</v>
      </c>
      <c r="E13" s="839" t="s">
        <v>188</v>
      </c>
      <c r="F13" s="839" t="s">
        <v>189</v>
      </c>
      <c r="G13" s="843" t="s">
        <v>190</v>
      </c>
      <c r="H13" s="839" t="s">
        <v>191</v>
      </c>
      <c r="I13" s="839" t="s">
        <v>192</v>
      </c>
      <c r="J13" s="839" t="s">
        <v>193</v>
      </c>
      <c r="K13" s="839" t="s">
        <v>194</v>
      </c>
      <c r="L13" s="841" t="s">
        <v>123</v>
      </c>
      <c r="M13" s="841" t="s">
        <v>124</v>
      </c>
      <c r="N13" s="841" t="s">
        <v>125</v>
      </c>
      <c r="O13" s="839" t="s">
        <v>195</v>
      </c>
      <c r="P13" s="845">
        <v>44321</v>
      </c>
    </row>
    <row r="14" spans="1:17" ht="300" customHeight="1" x14ac:dyDescent="0.35">
      <c r="A14" s="903" t="s">
        <v>196</v>
      </c>
      <c r="B14" s="839" t="s">
        <v>197</v>
      </c>
      <c r="C14" s="839" t="s">
        <v>198</v>
      </c>
      <c r="D14" s="839" t="s">
        <v>199</v>
      </c>
      <c r="E14" s="839" t="s">
        <v>200</v>
      </c>
      <c r="F14" s="839" t="s">
        <v>201</v>
      </c>
      <c r="G14" s="843" t="s">
        <v>190</v>
      </c>
      <c r="H14" s="839" t="s">
        <v>191</v>
      </c>
      <c r="I14" s="839" t="s">
        <v>192</v>
      </c>
      <c r="J14" s="839" t="s">
        <v>193</v>
      </c>
      <c r="K14" s="839" t="s">
        <v>194</v>
      </c>
      <c r="L14" s="841" t="s">
        <v>123</v>
      </c>
      <c r="M14" s="841" t="s">
        <v>124</v>
      </c>
      <c r="N14" s="841" t="s">
        <v>125</v>
      </c>
      <c r="O14" s="839" t="s">
        <v>202</v>
      </c>
      <c r="P14" s="845">
        <v>44321</v>
      </c>
    </row>
    <row r="15" spans="1:17" ht="300" customHeight="1" x14ac:dyDescent="0.35">
      <c r="A15" s="903" t="s">
        <v>22</v>
      </c>
      <c r="B15" s="839" t="s">
        <v>203</v>
      </c>
      <c r="C15" s="839" t="s">
        <v>174</v>
      </c>
      <c r="D15" s="839" t="s">
        <v>204</v>
      </c>
      <c r="E15" s="839" t="s">
        <v>205</v>
      </c>
      <c r="F15" s="839" t="s">
        <v>206</v>
      </c>
      <c r="G15" s="839" t="s">
        <v>207</v>
      </c>
      <c r="H15" s="839" t="s">
        <v>208</v>
      </c>
      <c r="I15" s="839" t="s">
        <v>209</v>
      </c>
      <c r="J15" s="839" t="s">
        <v>210</v>
      </c>
      <c r="K15" s="839" t="s">
        <v>211</v>
      </c>
      <c r="L15" s="837" t="s">
        <v>8</v>
      </c>
      <c r="M15" s="840" t="s">
        <v>109</v>
      </c>
      <c r="N15" s="841" t="s">
        <v>125</v>
      </c>
      <c r="O15" s="839" t="s">
        <v>212</v>
      </c>
      <c r="P15" s="840"/>
    </row>
    <row r="16" spans="1:17" s="70" customFormat="1" ht="300" customHeight="1" x14ac:dyDescent="0.4">
      <c r="A16" s="903" t="s">
        <v>213</v>
      </c>
      <c r="B16" s="849" t="s">
        <v>214</v>
      </c>
      <c r="C16" s="849" t="s">
        <v>215</v>
      </c>
      <c r="D16" s="849" t="s">
        <v>216</v>
      </c>
      <c r="E16" s="849" t="s">
        <v>217</v>
      </c>
      <c r="F16" s="849" t="s">
        <v>218</v>
      </c>
      <c r="G16" s="839" t="s">
        <v>118</v>
      </c>
      <c r="H16" s="849" t="s">
        <v>219</v>
      </c>
      <c r="I16" s="839" t="s">
        <v>134</v>
      </c>
      <c r="J16" s="849" t="s">
        <v>220</v>
      </c>
      <c r="K16" s="849" t="s">
        <v>221</v>
      </c>
      <c r="L16" s="840" t="s">
        <v>222</v>
      </c>
      <c r="M16" s="841" t="s">
        <v>96</v>
      </c>
      <c r="N16" s="841" t="s">
        <v>223</v>
      </c>
      <c r="O16" s="839" t="s">
        <v>224</v>
      </c>
      <c r="P16" s="840"/>
    </row>
    <row r="17" spans="1:16" s="68" customFormat="1" ht="300" customHeight="1" x14ac:dyDescent="0.4">
      <c r="A17" s="903" t="s">
        <v>27</v>
      </c>
      <c r="B17" s="832" t="s">
        <v>225</v>
      </c>
      <c r="C17" s="832" t="s">
        <v>226</v>
      </c>
      <c r="D17" s="832" t="s">
        <v>227</v>
      </c>
      <c r="E17" s="832" t="s">
        <v>228</v>
      </c>
      <c r="F17" s="839" t="s">
        <v>229</v>
      </c>
      <c r="G17" s="839" t="s">
        <v>230</v>
      </c>
      <c r="H17" s="832" t="s">
        <v>231</v>
      </c>
      <c r="I17" s="832" t="s">
        <v>232</v>
      </c>
      <c r="J17" s="832" t="s">
        <v>233</v>
      </c>
      <c r="K17" s="832" t="s">
        <v>234</v>
      </c>
      <c r="L17" s="836" t="s">
        <v>235</v>
      </c>
      <c r="M17" s="836" t="s">
        <v>96</v>
      </c>
      <c r="N17" s="841" t="s">
        <v>97</v>
      </c>
      <c r="O17" s="839" t="s">
        <v>236</v>
      </c>
      <c r="P17" s="840"/>
    </row>
    <row r="18" spans="1:16" s="68" customFormat="1" ht="300" customHeight="1" x14ac:dyDescent="0.4">
      <c r="A18" s="903" t="s">
        <v>237</v>
      </c>
      <c r="B18" s="880" t="s">
        <v>238</v>
      </c>
      <c r="C18" s="881" t="s">
        <v>239</v>
      </c>
      <c r="D18" s="1034" t="s">
        <v>240</v>
      </c>
      <c r="E18" s="882" t="s">
        <v>241</v>
      </c>
      <c r="F18" s="881" t="s">
        <v>242</v>
      </c>
      <c r="G18" s="532" t="s">
        <v>243</v>
      </c>
      <c r="H18" s="881" t="s">
        <v>244</v>
      </c>
      <c r="I18" s="529" t="s">
        <v>245</v>
      </c>
      <c r="J18" s="1113" t="s">
        <v>246</v>
      </c>
      <c r="K18" s="1114" t="s">
        <v>247</v>
      </c>
      <c r="L18" s="883" t="s">
        <v>8</v>
      </c>
      <c r="M18" s="884" t="s">
        <v>96</v>
      </c>
      <c r="N18" s="884" t="s">
        <v>97</v>
      </c>
      <c r="O18" s="885" t="s">
        <v>248</v>
      </c>
      <c r="P18" s="842">
        <v>44335</v>
      </c>
    </row>
    <row r="19" spans="1:16" s="70" customFormat="1" ht="300" customHeight="1" x14ac:dyDescent="0.4">
      <c r="A19" s="903" t="s">
        <v>30</v>
      </c>
      <c r="B19" s="832" t="s">
        <v>249</v>
      </c>
      <c r="C19" s="832" t="s">
        <v>250</v>
      </c>
      <c r="D19" s="832" t="s">
        <v>251</v>
      </c>
      <c r="E19" s="832" t="s">
        <v>252</v>
      </c>
      <c r="F19" s="832" t="s">
        <v>253</v>
      </c>
      <c r="G19" s="839" t="s">
        <v>118</v>
      </c>
      <c r="H19" s="832" t="s">
        <v>254</v>
      </c>
      <c r="I19" s="839" t="s">
        <v>134</v>
      </c>
      <c r="J19" s="832" t="s">
        <v>255</v>
      </c>
      <c r="K19" s="832" t="s">
        <v>256</v>
      </c>
      <c r="L19" s="841" t="s">
        <v>123</v>
      </c>
      <c r="M19" s="837" t="s">
        <v>257</v>
      </c>
      <c r="N19" s="841" t="s">
        <v>97</v>
      </c>
      <c r="O19" s="839" t="s">
        <v>258</v>
      </c>
      <c r="P19" s="840"/>
    </row>
    <row r="20" spans="1:16" s="70" customFormat="1" ht="300" customHeight="1" x14ac:dyDescent="0.4">
      <c r="A20" s="903" t="s">
        <v>29</v>
      </c>
      <c r="B20" s="832" t="s">
        <v>259</v>
      </c>
      <c r="C20" s="832" t="s">
        <v>260</v>
      </c>
      <c r="D20" s="832" t="s">
        <v>261</v>
      </c>
      <c r="E20" s="832" t="s">
        <v>262</v>
      </c>
      <c r="F20" s="832" t="s">
        <v>263</v>
      </c>
      <c r="G20" s="843" t="s">
        <v>264</v>
      </c>
      <c r="H20" s="832" t="s">
        <v>265</v>
      </c>
      <c r="I20" s="843" t="s">
        <v>266</v>
      </c>
      <c r="J20" s="832" t="s">
        <v>267</v>
      </c>
      <c r="K20" s="832" t="s">
        <v>268</v>
      </c>
      <c r="L20" s="837" t="s">
        <v>8</v>
      </c>
      <c r="M20" s="837" t="s">
        <v>96</v>
      </c>
      <c r="N20" s="841" t="s">
        <v>97</v>
      </c>
      <c r="O20" s="839" t="s">
        <v>269</v>
      </c>
      <c r="P20" s="845">
        <v>44322</v>
      </c>
    </row>
    <row r="21" spans="1:16" s="70" customFormat="1" ht="300" customHeight="1" x14ac:dyDescent="0.4">
      <c r="A21" s="903" t="s">
        <v>31</v>
      </c>
      <c r="B21" s="832" t="s">
        <v>270</v>
      </c>
      <c r="C21" s="832" t="s">
        <v>271</v>
      </c>
      <c r="D21" s="832" t="s">
        <v>272</v>
      </c>
      <c r="E21" s="832" t="s">
        <v>273</v>
      </c>
      <c r="F21" s="832" t="s">
        <v>274</v>
      </c>
      <c r="G21" s="843" t="s">
        <v>275</v>
      </c>
      <c r="H21" s="832" t="s">
        <v>276</v>
      </c>
      <c r="I21" s="843" t="s">
        <v>277</v>
      </c>
      <c r="J21" s="832" t="s">
        <v>278</v>
      </c>
      <c r="K21" s="832" t="s">
        <v>279</v>
      </c>
      <c r="L21" s="837" t="s">
        <v>8</v>
      </c>
      <c r="M21" s="837" t="s">
        <v>109</v>
      </c>
      <c r="N21" s="841" t="s">
        <v>125</v>
      </c>
      <c r="O21" s="839" t="s">
        <v>280</v>
      </c>
      <c r="P21" s="842">
        <v>44333</v>
      </c>
    </row>
    <row r="22" spans="1:16" s="223" customFormat="1" ht="358.95" customHeight="1" x14ac:dyDescent="0.3">
      <c r="A22" s="903" t="s">
        <v>281</v>
      </c>
      <c r="B22" s="832" t="s">
        <v>282</v>
      </c>
      <c r="C22" s="839" t="s">
        <v>283</v>
      </c>
      <c r="D22" s="832" t="s">
        <v>284</v>
      </c>
      <c r="E22" s="839" t="s">
        <v>285</v>
      </c>
      <c r="F22" s="839" t="s">
        <v>286</v>
      </c>
      <c r="G22" s="839" t="s">
        <v>287</v>
      </c>
      <c r="H22" s="839" t="s">
        <v>288</v>
      </c>
      <c r="I22" s="839" t="s">
        <v>289</v>
      </c>
      <c r="J22" s="839" t="s">
        <v>290</v>
      </c>
      <c r="K22" s="843" t="s">
        <v>291</v>
      </c>
      <c r="L22" s="840" t="s">
        <v>292</v>
      </c>
      <c r="M22" s="841" t="s">
        <v>124</v>
      </c>
      <c r="N22" s="841" t="s">
        <v>125</v>
      </c>
      <c r="O22" s="839" t="s">
        <v>293</v>
      </c>
      <c r="P22" s="845">
        <v>44322</v>
      </c>
    </row>
    <row r="23" spans="1:16" s="223" customFormat="1" ht="358.95" customHeight="1" x14ac:dyDescent="0.3">
      <c r="A23" s="1033" t="s">
        <v>294</v>
      </c>
      <c r="B23" s="1266" t="s">
        <v>1117</v>
      </c>
      <c r="C23" s="839" t="s">
        <v>295</v>
      </c>
      <c r="D23" s="832" t="s">
        <v>296</v>
      </c>
      <c r="E23" s="839" t="s">
        <v>297</v>
      </c>
      <c r="F23" s="839" t="s">
        <v>298</v>
      </c>
      <c r="G23" s="839" t="s">
        <v>299</v>
      </c>
      <c r="H23" s="839" t="s">
        <v>300</v>
      </c>
      <c r="I23" s="839" t="s">
        <v>301</v>
      </c>
      <c r="J23" s="839" t="s">
        <v>302</v>
      </c>
      <c r="K23" s="843" t="s">
        <v>303</v>
      </c>
      <c r="L23" s="840" t="s">
        <v>123</v>
      </c>
      <c r="M23" s="841" t="s">
        <v>124</v>
      </c>
      <c r="N23" s="841" t="s">
        <v>125</v>
      </c>
      <c r="O23" s="839" t="s">
        <v>304</v>
      </c>
      <c r="P23" s="845">
        <v>44502</v>
      </c>
    </row>
    <row r="24" spans="1:16" s="70" customFormat="1" ht="386.4" x14ac:dyDescent="0.4">
      <c r="A24" s="1032" t="s">
        <v>305</v>
      </c>
      <c r="B24" s="1267" t="s">
        <v>1118</v>
      </c>
      <c r="C24" s="839" t="s">
        <v>306</v>
      </c>
      <c r="D24" s="832" t="s">
        <v>307</v>
      </c>
      <c r="E24" s="839" t="s">
        <v>308</v>
      </c>
      <c r="F24" s="839" t="s">
        <v>309</v>
      </c>
      <c r="G24" s="839" t="s">
        <v>310</v>
      </c>
      <c r="H24" s="839" t="s">
        <v>300</v>
      </c>
      <c r="I24" s="839" t="s">
        <v>311</v>
      </c>
      <c r="J24" s="839" t="s">
        <v>312</v>
      </c>
      <c r="K24" s="843" t="s">
        <v>303</v>
      </c>
      <c r="L24" s="840" t="s">
        <v>123</v>
      </c>
      <c r="M24" s="841" t="s">
        <v>124</v>
      </c>
      <c r="N24" s="841" t="s">
        <v>125</v>
      </c>
      <c r="O24" s="839" t="s">
        <v>304</v>
      </c>
      <c r="P24" s="845">
        <v>44502</v>
      </c>
    </row>
    <row r="25" spans="1:16" s="70" customFormat="1" ht="218.4" x14ac:dyDescent="0.4">
      <c r="A25" s="1032" t="s">
        <v>313</v>
      </c>
      <c r="B25" s="1269" t="s">
        <v>1120</v>
      </c>
      <c r="C25" s="839" t="s">
        <v>314</v>
      </c>
      <c r="D25" s="832" t="s">
        <v>307</v>
      </c>
      <c r="E25" s="839" t="s">
        <v>315</v>
      </c>
      <c r="F25" s="839" t="s">
        <v>316</v>
      </c>
      <c r="G25" s="839" t="s">
        <v>317</v>
      </c>
      <c r="H25" s="839" t="s">
        <v>318</v>
      </c>
      <c r="I25" s="839" t="s">
        <v>319</v>
      </c>
      <c r="J25" s="839" t="s">
        <v>320</v>
      </c>
      <c r="K25" s="843" t="s">
        <v>303</v>
      </c>
      <c r="L25" s="840" t="s">
        <v>123</v>
      </c>
      <c r="M25" s="841" t="s">
        <v>124</v>
      </c>
      <c r="N25" s="841" t="s">
        <v>125</v>
      </c>
      <c r="O25" s="839" t="s">
        <v>304</v>
      </c>
      <c r="P25" s="845">
        <v>44502</v>
      </c>
    </row>
    <row r="26" spans="1:16" s="70" customFormat="1" ht="336" x14ac:dyDescent="0.4">
      <c r="A26" s="1032" t="s">
        <v>321</v>
      </c>
      <c r="B26" s="1268" t="s">
        <v>1119</v>
      </c>
      <c r="C26" s="839" t="s">
        <v>322</v>
      </c>
      <c r="D26" s="832" t="s">
        <v>307</v>
      </c>
      <c r="E26" s="839" t="s">
        <v>323</v>
      </c>
      <c r="F26" s="839" t="s">
        <v>324</v>
      </c>
      <c r="G26" s="1270" t="s">
        <v>1121</v>
      </c>
      <c r="H26" s="839" t="s">
        <v>325</v>
      </c>
      <c r="I26" s="839" t="s">
        <v>319</v>
      </c>
      <c r="J26" s="839" t="s">
        <v>326</v>
      </c>
      <c r="K26" s="843" t="s">
        <v>303</v>
      </c>
      <c r="L26" s="840" t="s">
        <v>123</v>
      </c>
      <c r="M26" s="841" t="s">
        <v>109</v>
      </c>
      <c r="N26" s="841" t="s">
        <v>125</v>
      </c>
      <c r="O26" s="839" t="s">
        <v>110</v>
      </c>
      <c r="P26" s="845">
        <v>44502</v>
      </c>
    </row>
    <row r="27" spans="1:16" ht="16.8" x14ac:dyDescent="0.4">
      <c r="A27" s="67"/>
      <c r="B27" s="86"/>
      <c r="C27" s="22"/>
      <c r="D27" s="22"/>
      <c r="E27" s="22"/>
      <c r="F27" s="22"/>
      <c r="G27" s="22"/>
      <c r="H27" s="22"/>
      <c r="I27" s="22"/>
      <c r="J27" s="22"/>
      <c r="K27" s="22"/>
      <c r="L27" s="87"/>
      <c r="O27" s="67"/>
      <c r="P27" s="95"/>
    </row>
    <row r="28" spans="1:16" ht="16.8" x14ac:dyDescent="0.4">
      <c r="A28" s="67"/>
      <c r="B28" s="86"/>
      <c r="C28" s="22"/>
      <c r="D28" s="22"/>
      <c r="E28" s="22"/>
      <c r="F28" s="22"/>
      <c r="G28" s="22"/>
      <c r="H28" s="22"/>
      <c r="I28" s="22"/>
      <c r="J28" s="22"/>
      <c r="K28" s="22"/>
      <c r="L28" s="87"/>
      <c r="O28" s="67"/>
      <c r="P28" s="95"/>
    </row>
    <row r="29" spans="1:16" ht="16.8" x14ac:dyDescent="0.4">
      <c r="A29" s="67"/>
      <c r="B29" s="86"/>
      <c r="C29" s="22"/>
      <c r="D29" s="22"/>
      <c r="E29" s="22"/>
      <c r="F29" s="22"/>
      <c r="G29" s="22"/>
      <c r="H29" s="22"/>
      <c r="I29" s="22"/>
      <c r="J29" s="22"/>
      <c r="K29" s="22"/>
      <c r="L29" s="87"/>
      <c r="O29" s="67"/>
      <c r="P29" s="95"/>
    </row>
    <row r="30" spans="1:16" ht="16.8" x14ac:dyDescent="0.4">
      <c r="A30" s="67"/>
      <c r="B30" s="86"/>
      <c r="C30" s="22"/>
      <c r="D30" s="22"/>
      <c r="E30" s="22"/>
      <c r="F30" s="22"/>
      <c r="G30" s="22"/>
      <c r="H30" s="22"/>
      <c r="I30" s="22"/>
      <c r="J30" s="22"/>
      <c r="K30" s="22"/>
      <c r="L30" s="87"/>
      <c r="O30" s="67"/>
      <c r="P30" s="95"/>
    </row>
    <row r="31" spans="1:16" ht="16.8" x14ac:dyDescent="0.4">
      <c r="A31" s="67"/>
      <c r="B31" s="86"/>
      <c r="C31" s="22"/>
      <c r="D31" s="22"/>
      <c r="E31" s="22"/>
      <c r="F31" s="22"/>
      <c r="G31" s="22"/>
      <c r="H31" s="22"/>
      <c r="I31" s="22"/>
      <c r="J31" s="22"/>
      <c r="K31" s="22"/>
      <c r="L31" s="87"/>
      <c r="O31" s="67"/>
      <c r="P31" s="95"/>
    </row>
    <row r="32" spans="1:16" ht="16.8" x14ac:dyDescent="0.4">
      <c r="A32" s="67"/>
      <c r="B32" s="86"/>
      <c r="C32" s="22"/>
      <c r="D32" s="22"/>
      <c r="E32" s="22"/>
      <c r="F32" s="22"/>
      <c r="G32" s="22"/>
      <c r="H32" s="22"/>
      <c r="I32" s="22"/>
      <c r="J32" s="22"/>
      <c r="K32" s="22"/>
      <c r="L32" s="87"/>
      <c r="O32" s="67"/>
      <c r="P32" s="95"/>
    </row>
    <row r="33" spans="1:16" ht="16.8" x14ac:dyDescent="0.4">
      <c r="A33" s="67"/>
      <c r="B33" s="86"/>
      <c r="C33" s="22"/>
      <c r="D33" s="22"/>
      <c r="E33" s="22"/>
      <c r="F33" s="22"/>
      <c r="G33" s="22"/>
      <c r="H33" s="22"/>
      <c r="I33" s="22"/>
      <c r="J33" s="22"/>
      <c r="K33" s="22"/>
      <c r="L33" s="87"/>
      <c r="O33" s="67"/>
      <c r="P33" s="95"/>
    </row>
    <row r="34" spans="1:16" ht="16.8" x14ac:dyDescent="0.4">
      <c r="A34" s="67"/>
      <c r="B34" s="86"/>
      <c r="C34" s="22"/>
      <c r="D34" s="22"/>
      <c r="E34" s="22"/>
      <c r="F34" s="22"/>
      <c r="G34" s="22"/>
      <c r="H34" s="22"/>
      <c r="I34" s="22"/>
      <c r="J34" s="22"/>
      <c r="K34" s="22"/>
      <c r="L34" s="87"/>
      <c r="O34" s="67"/>
      <c r="P34" s="95"/>
    </row>
    <row r="35" spans="1:16" ht="16.8" x14ac:dyDescent="0.4">
      <c r="A35" s="67"/>
      <c r="B35" s="86"/>
      <c r="C35" s="22"/>
      <c r="D35" s="22"/>
      <c r="E35" s="22"/>
      <c r="F35" s="22"/>
      <c r="G35" s="22"/>
      <c r="H35" s="22"/>
      <c r="I35" s="22"/>
      <c r="J35" s="22"/>
      <c r="K35" s="22"/>
      <c r="L35" s="87"/>
      <c r="O35" s="67"/>
      <c r="P35" s="95"/>
    </row>
    <row r="36" spans="1:16" ht="16.8" x14ac:dyDescent="0.4">
      <c r="A36" s="67"/>
      <c r="B36" s="86"/>
      <c r="C36" s="22"/>
      <c r="D36" s="22"/>
      <c r="E36" s="22"/>
      <c r="F36" s="22"/>
      <c r="G36" s="22"/>
      <c r="H36" s="22"/>
      <c r="I36" s="22"/>
      <c r="J36" s="22"/>
      <c r="K36" s="22"/>
      <c r="L36" s="87"/>
      <c r="O36" s="67"/>
      <c r="P36" s="95"/>
    </row>
    <row r="37" spans="1:16" ht="16.8" x14ac:dyDescent="0.4">
      <c r="A37" s="67"/>
      <c r="B37" s="86"/>
      <c r="C37" s="22"/>
      <c r="D37" s="22"/>
      <c r="E37" s="22"/>
      <c r="F37" s="22"/>
      <c r="G37" s="22"/>
      <c r="H37" s="22"/>
      <c r="I37" s="22"/>
      <c r="J37" s="22"/>
      <c r="K37" s="22"/>
      <c r="L37" s="87"/>
      <c r="O37" s="67"/>
      <c r="P37" s="95"/>
    </row>
    <row r="38" spans="1:16" ht="16.8" x14ac:dyDescent="0.4">
      <c r="A38" s="67"/>
      <c r="B38" s="86"/>
      <c r="C38" s="22"/>
      <c r="D38" s="22"/>
      <c r="E38" s="22"/>
      <c r="F38" s="22"/>
      <c r="G38" s="22"/>
      <c r="H38" s="22"/>
      <c r="I38" s="22"/>
      <c r="J38" s="22"/>
      <c r="K38" s="22"/>
      <c r="L38" s="87"/>
      <c r="O38" s="67"/>
      <c r="P38" s="95"/>
    </row>
    <row r="39" spans="1:16" ht="16.8" x14ac:dyDescent="0.4">
      <c r="A39" s="67"/>
      <c r="B39" s="86"/>
      <c r="C39" s="22"/>
      <c r="D39" s="22"/>
      <c r="E39" s="22"/>
      <c r="F39" s="22"/>
      <c r="G39" s="22"/>
      <c r="H39" s="22"/>
      <c r="I39" s="22"/>
      <c r="J39" s="22"/>
      <c r="K39" s="22"/>
      <c r="L39" s="87"/>
      <c r="O39" s="67"/>
      <c r="P39" s="95"/>
    </row>
    <row r="40" spans="1:16" ht="16.8" x14ac:dyDescent="0.4">
      <c r="A40" s="67"/>
      <c r="B40" s="86"/>
      <c r="C40" s="22"/>
      <c r="D40" s="22"/>
      <c r="E40" s="22"/>
      <c r="F40" s="22"/>
      <c r="G40" s="22"/>
      <c r="H40" s="22"/>
      <c r="I40" s="22"/>
      <c r="J40" s="22"/>
      <c r="K40" s="22"/>
      <c r="L40" s="87"/>
      <c r="O40" s="67"/>
      <c r="P40" s="95"/>
    </row>
    <row r="41" spans="1:16" ht="16.8" x14ac:dyDescent="0.4">
      <c r="A41" s="67"/>
      <c r="B41" s="86"/>
      <c r="C41" s="22"/>
      <c r="D41" s="22"/>
      <c r="E41" s="22"/>
      <c r="F41" s="22"/>
      <c r="G41" s="22"/>
      <c r="H41" s="22"/>
      <c r="I41" s="22"/>
      <c r="J41" s="22"/>
      <c r="K41" s="22"/>
      <c r="L41" s="87"/>
      <c r="O41" s="67"/>
      <c r="P41" s="95"/>
    </row>
    <row r="42" spans="1:16" ht="16.8" x14ac:dyDescent="0.4">
      <c r="A42" s="67"/>
      <c r="B42" s="86"/>
      <c r="C42" s="22"/>
      <c r="D42" s="22"/>
      <c r="E42" s="22"/>
      <c r="F42" s="22"/>
      <c r="G42" s="22"/>
      <c r="H42" s="22"/>
      <c r="I42" s="22"/>
      <c r="J42" s="22"/>
      <c r="K42" s="22"/>
      <c r="L42" s="87"/>
      <c r="O42" s="67"/>
      <c r="P42" s="95"/>
    </row>
    <row r="43" spans="1:16" ht="16.8" x14ac:dyDescent="0.4">
      <c r="A43" s="67"/>
      <c r="B43" s="86"/>
      <c r="C43" s="22"/>
      <c r="D43" s="22"/>
      <c r="E43" s="22"/>
      <c r="F43" s="22"/>
      <c r="G43" s="22"/>
      <c r="H43" s="22"/>
      <c r="I43" s="22"/>
      <c r="J43" s="22"/>
      <c r="K43" s="22"/>
      <c r="L43" s="87"/>
      <c r="O43" s="67"/>
      <c r="P43" s="95"/>
    </row>
    <row r="44" spans="1:16" ht="16.8" x14ac:dyDescent="0.4">
      <c r="A44" s="67"/>
      <c r="B44" s="86"/>
      <c r="C44" s="22"/>
      <c r="D44" s="22"/>
      <c r="E44" s="22"/>
      <c r="F44" s="22"/>
      <c r="G44" s="22"/>
      <c r="H44" s="22"/>
      <c r="I44" s="22"/>
      <c r="J44" s="22"/>
      <c r="K44" s="22"/>
      <c r="L44" s="87"/>
      <c r="O44" s="67"/>
      <c r="P44" s="95"/>
    </row>
    <row r="45" spans="1:16" ht="16.8" x14ac:dyDescent="0.4">
      <c r="A45" s="67"/>
      <c r="B45" s="86"/>
      <c r="C45" s="22"/>
      <c r="D45" s="22"/>
      <c r="E45" s="22"/>
      <c r="F45" s="22"/>
      <c r="G45" s="22"/>
      <c r="H45" s="22"/>
      <c r="I45" s="22"/>
      <c r="J45" s="22"/>
      <c r="K45" s="22"/>
      <c r="L45" s="87"/>
      <c r="O45" s="67"/>
      <c r="P45" s="95"/>
    </row>
    <row r="46" spans="1:16" ht="16.8" x14ac:dyDescent="0.4">
      <c r="A46" s="67"/>
      <c r="B46" s="86"/>
      <c r="C46" s="22"/>
      <c r="D46" s="22"/>
      <c r="E46" s="22"/>
      <c r="F46" s="22"/>
      <c r="G46" s="22"/>
      <c r="H46" s="22"/>
      <c r="I46" s="22"/>
      <c r="J46" s="22"/>
      <c r="K46" s="22"/>
      <c r="L46" s="87"/>
      <c r="O46" s="67"/>
      <c r="P46" s="95"/>
    </row>
    <row r="47" spans="1:16" ht="16.8" x14ac:dyDescent="0.4">
      <c r="A47" s="67"/>
      <c r="B47" s="86"/>
      <c r="C47" s="22"/>
      <c r="D47" s="22"/>
      <c r="E47" s="22"/>
      <c r="F47" s="22"/>
      <c r="G47" s="22"/>
      <c r="H47" s="22"/>
      <c r="I47" s="22"/>
      <c r="J47" s="22"/>
      <c r="K47" s="22"/>
      <c r="L47" s="87"/>
      <c r="O47" s="67"/>
      <c r="P47" s="95"/>
    </row>
    <row r="48" spans="1:16" ht="16.8" x14ac:dyDescent="0.4">
      <c r="A48" s="67"/>
      <c r="B48" s="86"/>
      <c r="C48" s="22"/>
      <c r="D48" s="22"/>
      <c r="E48" s="22"/>
      <c r="F48" s="22"/>
      <c r="G48" s="22"/>
      <c r="H48" s="22"/>
      <c r="I48" s="22"/>
      <c r="J48" s="22"/>
      <c r="K48" s="22"/>
      <c r="L48" s="87"/>
      <c r="O48" s="67"/>
      <c r="P48" s="95"/>
    </row>
    <row r="49" spans="1:16" ht="16.8" x14ac:dyDescent="0.4">
      <c r="A49" s="67"/>
      <c r="B49" s="86"/>
      <c r="C49" s="22"/>
      <c r="D49" s="22"/>
      <c r="E49" s="22"/>
      <c r="F49" s="22"/>
      <c r="G49" s="22"/>
      <c r="H49" s="22"/>
      <c r="I49" s="22"/>
      <c r="J49" s="22"/>
      <c r="K49" s="22"/>
      <c r="L49" s="87"/>
      <c r="O49" s="67"/>
      <c r="P49" s="95"/>
    </row>
    <row r="50" spans="1:16" ht="16.8" x14ac:dyDescent="0.4">
      <c r="A50" s="67"/>
      <c r="B50" s="86"/>
      <c r="C50" s="22"/>
      <c r="D50" s="22"/>
      <c r="E50" s="22"/>
      <c r="F50" s="22"/>
      <c r="G50" s="22"/>
      <c r="H50" s="22"/>
      <c r="I50" s="22"/>
      <c r="J50" s="22"/>
      <c r="K50" s="22"/>
      <c r="L50" s="87"/>
      <c r="O50" s="67"/>
      <c r="P50" s="95"/>
    </row>
    <row r="51" spans="1:16" ht="16.8" x14ac:dyDescent="0.4">
      <c r="A51" s="67"/>
      <c r="B51" s="86"/>
      <c r="C51" s="22"/>
      <c r="D51" s="22"/>
      <c r="E51" s="22"/>
      <c r="F51" s="22"/>
      <c r="G51" s="22"/>
      <c r="H51" s="22"/>
      <c r="I51" s="22"/>
      <c r="J51" s="22"/>
      <c r="K51" s="22"/>
      <c r="L51" s="87"/>
      <c r="O51" s="67"/>
      <c r="P51" s="95"/>
    </row>
    <row r="52" spans="1:16" ht="16.8" x14ac:dyDescent="0.4">
      <c r="A52" s="67"/>
      <c r="B52" s="86"/>
      <c r="C52" s="22"/>
      <c r="D52" s="22"/>
      <c r="E52" s="22"/>
      <c r="F52" s="22"/>
      <c r="G52" s="22"/>
      <c r="H52" s="22"/>
      <c r="I52" s="22"/>
      <c r="J52" s="22"/>
      <c r="K52" s="22"/>
      <c r="L52" s="87"/>
      <c r="O52" s="67"/>
      <c r="P52" s="95"/>
    </row>
    <row r="53" spans="1:16" ht="16.8" x14ac:dyDescent="0.4">
      <c r="A53" s="67"/>
      <c r="B53" s="86"/>
      <c r="C53" s="22"/>
      <c r="D53" s="22"/>
      <c r="E53" s="22"/>
      <c r="F53" s="22"/>
      <c r="G53" s="22"/>
      <c r="H53" s="22"/>
      <c r="I53" s="22"/>
      <c r="J53" s="22"/>
      <c r="K53" s="22"/>
      <c r="L53" s="87"/>
      <c r="O53" s="67"/>
      <c r="P53" s="95"/>
    </row>
    <row r="54" spans="1:16" x14ac:dyDescent="0.35">
      <c r="A54" s="67"/>
      <c r="O54" s="67"/>
      <c r="P54" s="95"/>
    </row>
    <row r="55" spans="1:16" x14ac:dyDescent="0.35">
      <c r="A55" s="67"/>
      <c r="O55" s="67"/>
      <c r="P55" s="95"/>
    </row>
    <row r="56" spans="1:16" x14ac:dyDescent="0.35">
      <c r="A56" s="67"/>
      <c r="O56" s="67"/>
      <c r="P56" s="95"/>
    </row>
    <row r="57" spans="1:16" x14ac:dyDescent="0.35">
      <c r="A57" s="67"/>
      <c r="O57" s="67"/>
      <c r="P57" s="95"/>
    </row>
    <row r="58" spans="1:16" x14ac:dyDescent="0.35">
      <c r="A58" s="67"/>
      <c r="O58" s="67"/>
      <c r="P58" s="95"/>
    </row>
    <row r="59" spans="1:16" x14ac:dyDescent="0.35">
      <c r="A59" s="67"/>
      <c r="O59" s="67"/>
      <c r="P59" s="95"/>
    </row>
    <row r="60" spans="1:16" x14ac:dyDescent="0.35">
      <c r="A60" s="67"/>
      <c r="O60" s="67"/>
      <c r="P60" s="95"/>
    </row>
    <row r="61" spans="1:16" x14ac:dyDescent="0.35">
      <c r="A61" s="67"/>
      <c r="O61" s="67"/>
      <c r="P61" s="95"/>
    </row>
    <row r="62" spans="1:16" x14ac:dyDescent="0.35">
      <c r="A62" s="67"/>
      <c r="O62" s="67"/>
      <c r="P62" s="95"/>
    </row>
    <row r="63" spans="1:16" x14ac:dyDescent="0.35">
      <c r="A63" s="67"/>
      <c r="O63" s="67"/>
      <c r="P63" s="95"/>
    </row>
  </sheetData>
  <mergeCells count="2">
    <mergeCell ref="A3:P3"/>
    <mergeCell ref="A1:C1"/>
  </mergeCells>
  <hyperlinks>
    <hyperlink ref="K18" r:id="rId1" xr:uid="{A9E9ACD2-10DE-4CBF-82E8-10E8F82E46F9}"/>
  </hyperlinks>
  <pageMargins left="0.25" right="0.25" top="0.75" bottom="0.75" header="0.3" footer="0.3"/>
  <pageSetup paperSize="5" fitToHeight="0" orientation="landscape" r:id="rId2"/>
  <rowBreaks count="2" manualBreakCount="2">
    <brk id="8" max="14" man="1"/>
    <brk id="12" max="14"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0"/>
  <sheetViews>
    <sheetView zoomScale="80" zoomScaleNormal="80" workbookViewId="0">
      <selection activeCell="C9" sqref="C9"/>
    </sheetView>
  </sheetViews>
  <sheetFormatPr defaultColWidth="8.69921875" defaultRowHeight="16.8" x14ac:dyDescent="0.4"/>
  <cols>
    <col min="1" max="1" width="139.3984375" style="543" customWidth="1"/>
    <col min="2" max="3" width="14.59765625" style="534" customWidth="1"/>
    <col min="4" max="4" width="14.59765625" style="535" customWidth="1"/>
    <col min="5" max="5" width="85.5" style="536" customWidth="1"/>
    <col min="6" max="16384" width="8.69921875" style="537"/>
  </cols>
  <sheetData>
    <row r="1" spans="1:5" ht="113.25" customHeight="1" x14ac:dyDescent="0.4">
      <c r="A1" s="907" t="s">
        <v>327</v>
      </c>
      <c r="B1" s="544"/>
    </row>
    <row r="2" spans="1:5" ht="27" customHeight="1" x14ac:dyDescent="0.4">
      <c r="A2" s="907"/>
      <c r="B2" s="544"/>
    </row>
    <row r="3" spans="1:5" ht="44.25" customHeight="1" x14ac:dyDescent="0.4">
      <c r="A3" s="1283" t="s">
        <v>328</v>
      </c>
      <c r="B3" s="1283"/>
      <c r="C3" s="1283"/>
      <c r="D3" s="1283"/>
      <c r="E3" s="1284"/>
    </row>
    <row r="4" spans="1:5" ht="43.95" customHeight="1" x14ac:dyDescent="0.4">
      <c r="A4" s="1290" t="s">
        <v>329</v>
      </c>
      <c r="B4" s="1290"/>
      <c r="C4" s="1290"/>
      <c r="D4" s="1290"/>
      <c r="E4" s="1291"/>
    </row>
    <row r="5" spans="1:5" x14ac:dyDescent="0.4">
      <c r="A5" s="545"/>
      <c r="B5" s="546"/>
      <c r="C5" s="546"/>
      <c r="D5" s="547"/>
      <c r="E5" s="548"/>
    </row>
    <row r="6" spans="1:5" ht="59.25" customHeight="1" x14ac:dyDescent="0.4">
      <c r="A6" s="908" t="s">
        <v>330</v>
      </c>
      <c r="B6" s="908" t="s">
        <v>331</v>
      </c>
      <c r="C6" s="908" t="s">
        <v>332</v>
      </c>
      <c r="D6" s="908" t="s">
        <v>333</v>
      </c>
      <c r="E6" s="909" t="s">
        <v>334</v>
      </c>
    </row>
    <row r="7" spans="1:5" ht="19.95" customHeight="1" x14ac:dyDescent="0.4">
      <c r="A7" s="1285" t="s">
        <v>335</v>
      </c>
      <c r="B7" s="1285"/>
      <c r="C7" s="1285"/>
      <c r="D7" s="1285"/>
      <c r="E7" s="1285"/>
    </row>
    <row r="8" spans="1:5" ht="95.4" customHeight="1" x14ac:dyDescent="0.4">
      <c r="A8" s="1287" t="s">
        <v>336</v>
      </c>
      <c r="B8" s="1288"/>
      <c r="C8" s="1288"/>
      <c r="D8" s="1288"/>
      <c r="E8" s="1289"/>
    </row>
    <row r="9" spans="1:5" ht="75" customHeight="1" x14ac:dyDescent="0.4">
      <c r="A9" s="529" t="s">
        <v>337</v>
      </c>
      <c r="B9" s="532"/>
      <c r="C9" s="532"/>
      <c r="D9" s="530"/>
      <c r="E9" s="531"/>
    </row>
    <row r="10" spans="1:5" ht="75" customHeight="1" x14ac:dyDescent="0.4">
      <c r="A10" s="529" t="s">
        <v>338</v>
      </c>
      <c r="B10" s="532"/>
      <c r="C10" s="532"/>
      <c r="D10" s="530"/>
      <c r="E10" s="531"/>
    </row>
    <row r="11" spans="1:5" ht="75" customHeight="1" x14ac:dyDescent="0.4">
      <c r="A11" s="529" t="s">
        <v>339</v>
      </c>
      <c r="B11" s="532"/>
      <c r="C11" s="532"/>
      <c r="D11" s="530"/>
      <c r="E11" s="531"/>
    </row>
    <row r="12" spans="1:5" ht="75" customHeight="1" x14ac:dyDescent="0.4">
      <c r="A12" s="538" t="s">
        <v>340</v>
      </c>
      <c r="B12" s="539"/>
      <c r="C12" s="539"/>
      <c r="D12" s="540"/>
      <c r="E12" s="531"/>
    </row>
    <row r="13" spans="1:5" ht="75" customHeight="1" x14ac:dyDescent="0.4">
      <c r="A13" s="529" t="s">
        <v>341</v>
      </c>
      <c r="B13" s="530" t="s">
        <v>110</v>
      </c>
      <c r="C13" s="530" t="s">
        <v>110</v>
      </c>
      <c r="D13" s="530" t="s">
        <v>110</v>
      </c>
      <c r="E13" s="531"/>
    </row>
    <row r="14" spans="1:5" ht="19.95" customHeight="1" x14ac:dyDescent="0.4">
      <c r="A14" s="1285" t="s">
        <v>342</v>
      </c>
      <c r="B14" s="1285"/>
      <c r="C14" s="1285"/>
      <c r="D14" s="1285"/>
      <c r="E14" s="1285"/>
    </row>
    <row r="15" spans="1:5" ht="97.95" customHeight="1" x14ac:dyDescent="0.4">
      <c r="A15" s="1287" t="s">
        <v>343</v>
      </c>
      <c r="B15" s="1288"/>
      <c r="C15" s="1288"/>
      <c r="D15" s="1288"/>
      <c r="E15" s="1289"/>
    </row>
    <row r="16" spans="1:5" ht="75" customHeight="1" x14ac:dyDescent="0.4">
      <c r="A16" s="529" t="s">
        <v>344</v>
      </c>
      <c r="B16" s="532"/>
      <c r="C16" s="532"/>
      <c r="D16" s="530"/>
      <c r="E16" s="531"/>
    </row>
    <row r="17" spans="1:5" ht="75" customHeight="1" x14ac:dyDescent="0.4">
      <c r="A17" s="529" t="s">
        <v>345</v>
      </c>
      <c r="B17" s="532"/>
      <c r="C17" s="532"/>
      <c r="D17" s="530"/>
      <c r="E17" s="531"/>
    </row>
    <row r="18" spans="1:5" ht="75" customHeight="1" x14ac:dyDescent="0.4">
      <c r="A18" s="538" t="s">
        <v>346</v>
      </c>
      <c r="B18" s="539"/>
      <c r="C18" s="539"/>
      <c r="D18" s="540"/>
      <c r="E18" s="531"/>
    </row>
    <row r="19" spans="1:5" ht="19.95" customHeight="1" x14ac:dyDescent="0.4">
      <c r="A19" s="1292" t="s">
        <v>347</v>
      </c>
      <c r="B19" s="1293"/>
      <c r="C19" s="1293"/>
      <c r="D19" s="1293"/>
      <c r="E19" s="1294"/>
    </row>
    <row r="20" spans="1:5" ht="116.4" customHeight="1" x14ac:dyDescent="0.4">
      <c r="A20" s="1287" t="s">
        <v>348</v>
      </c>
      <c r="B20" s="1288"/>
      <c r="C20" s="1288"/>
      <c r="D20" s="1288"/>
      <c r="E20" s="1289"/>
    </row>
    <row r="21" spans="1:5" ht="75" customHeight="1" x14ac:dyDescent="0.4">
      <c r="A21" s="529" t="s">
        <v>349</v>
      </c>
      <c r="B21" s="532"/>
      <c r="C21" s="532"/>
      <c r="D21" s="530"/>
      <c r="E21" s="531"/>
    </row>
    <row r="22" spans="1:5" ht="75" customHeight="1" x14ac:dyDescent="0.4">
      <c r="A22" s="529" t="s">
        <v>350</v>
      </c>
      <c r="B22" s="532"/>
      <c r="C22" s="532"/>
      <c r="D22" s="530"/>
      <c r="E22" s="531"/>
    </row>
    <row r="23" spans="1:5" ht="75" customHeight="1" x14ac:dyDescent="0.4">
      <c r="A23" s="529" t="s">
        <v>351</v>
      </c>
      <c r="B23" s="532"/>
      <c r="C23" s="532"/>
      <c r="D23" s="530"/>
      <c r="E23" s="531"/>
    </row>
    <row r="24" spans="1:5" ht="75" customHeight="1" x14ac:dyDescent="0.4">
      <c r="A24" s="529" t="s">
        <v>352</v>
      </c>
      <c r="B24" s="532"/>
      <c r="C24" s="532"/>
      <c r="D24" s="530"/>
      <c r="E24" s="531"/>
    </row>
    <row r="25" spans="1:5" ht="75" customHeight="1" x14ac:dyDescent="0.4">
      <c r="A25" s="529" t="s">
        <v>353</v>
      </c>
      <c r="B25" s="532"/>
      <c r="C25" s="532"/>
      <c r="D25" s="530"/>
      <c r="E25" s="531"/>
    </row>
    <row r="26" spans="1:5" ht="75" customHeight="1" x14ac:dyDescent="0.4">
      <c r="A26" s="529" t="s">
        <v>354</v>
      </c>
      <c r="B26" s="530" t="s">
        <v>110</v>
      </c>
      <c r="C26" s="530" t="s">
        <v>110</v>
      </c>
      <c r="D26" s="530" t="s">
        <v>110</v>
      </c>
      <c r="E26" s="531"/>
    </row>
    <row r="27" spans="1:5" ht="75" customHeight="1" x14ac:dyDescent="0.4">
      <c r="A27" s="529" t="s">
        <v>355</v>
      </c>
      <c r="B27" s="530" t="s">
        <v>110</v>
      </c>
      <c r="C27" s="530" t="s">
        <v>110</v>
      </c>
      <c r="D27" s="530" t="s">
        <v>110</v>
      </c>
      <c r="E27" s="531"/>
    </row>
    <row r="28" spans="1:5" ht="19.95" customHeight="1" x14ac:dyDescent="0.4">
      <c r="A28" s="1286" t="s">
        <v>356</v>
      </c>
      <c r="B28" s="1286"/>
      <c r="C28" s="1286"/>
      <c r="D28" s="1286"/>
      <c r="E28" s="1286"/>
    </row>
    <row r="29" spans="1:5" ht="117" customHeight="1" x14ac:dyDescent="0.4">
      <c r="A29" s="1279" t="s">
        <v>357</v>
      </c>
      <c r="B29" s="1280"/>
      <c r="C29" s="1280"/>
      <c r="D29" s="1280"/>
      <c r="E29" s="1281"/>
    </row>
    <row r="30" spans="1:5" ht="75" customHeight="1" x14ac:dyDescent="0.4">
      <c r="A30" s="533" t="s">
        <v>358</v>
      </c>
      <c r="B30" s="530" t="s">
        <v>110</v>
      </c>
      <c r="C30" s="530" t="s">
        <v>110</v>
      </c>
      <c r="D30" s="530" t="s">
        <v>110</v>
      </c>
      <c r="E30" s="531"/>
    </row>
    <row r="31" spans="1:5" ht="75" customHeight="1" x14ac:dyDescent="0.4">
      <c r="A31" s="529" t="s">
        <v>359</v>
      </c>
      <c r="B31" s="530" t="s">
        <v>110</v>
      </c>
      <c r="C31" s="530" t="s">
        <v>110</v>
      </c>
      <c r="D31" s="530" t="s">
        <v>110</v>
      </c>
      <c r="E31" s="531"/>
    </row>
    <row r="32" spans="1:5" ht="75" customHeight="1" x14ac:dyDescent="0.4">
      <c r="A32" s="529" t="s">
        <v>360</v>
      </c>
      <c r="B32" s="532"/>
      <c r="C32" s="532"/>
      <c r="D32" s="530"/>
      <c r="E32" s="531"/>
    </row>
    <row r="33" spans="1:5" ht="75" customHeight="1" x14ac:dyDescent="0.4">
      <c r="A33" s="529" t="s">
        <v>361</v>
      </c>
      <c r="B33" s="532"/>
      <c r="C33" s="532"/>
      <c r="D33" s="530"/>
      <c r="E33" s="531"/>
    </row>
    <row r="34" spans="1:5" ht="75" customHeight="1" x14ac:dyDescent="0.4">
      <c r="A34" s="529" t="s">
        <v>362</v>
      </c>
      <c r="B34" s="532"/>
      <c r="C34" s="532"/>
      <c r="D34" s="530"/>
      <c r="E34" s="531"/>
    </row>
    <row r="35" spans="1:5" ht="75" customHeight="1" x14ac:dyDescent="0.4">
      <c r="A35" s="529" t="s">
        <v>363</v>
      </c>
      <c r="B35" s="532"/>
      <c r="C35" s="532"/>
      <c r="D35" s="530"/>
      <c r="E35" s="531"/>
    </row>
    <row r="36" spans="1:5" ht="75" customHeight="1" x14ac:dyDescent="0.4">
      <c r="A36" s="529" t="s">
        <v>364</v>
      </c>
      <c r="B36" s="530" t="s">
        <v>110</v>
      </c>
      <c r="C36" s="530" t="s">
        <v>110</v>
      </c>
      <c r="D36" s="530" t="s">
        <v>110</v>
      </c>
      <c r="E36" s="531"/>
    </row>
    <row r="37" spans="1:5" ht="75" customHeight="1" x14ac:dyDescent="0.4">
      <c r="A37" s="529" t="s">
        <v>365</v>
      </c>
      <c r="B37" s="530" t="s">
        <v>110</v>
      </c>
      <c r="C37" s="530" t="s">
        <v>110</v>
      </c>
      <c r="D37" s="530" t="s">
        <v>110</v>
      </c>
      <c r="E37" s="531"/>
    </row>
    <row r="38" spans="1:5" ht="75" customHeight="1" x14ac:dyDescent="0.4">
      <c r="A38" s="529" t="s">
        <v>366</v>
      </c>
      <c r="B38" s="532"/>
      <c r="C38" s="532"/>
      <c r="D38" s="530"/>
      <c r="E38" s="531"/>
    </row>
    <row r="39" spans="1:5" ht="24.6" customHeight="1" x14ac:dyDescent="0.4">
      <c r="A39" s="541"/>
      <c r="B39" s="542"/>
      <c r="C39" s="542"/>
    </row>
    <row r="40" spans="1:5" ht="43.2" customHeight="1" x14ac:dyDescent="0.4">
      <c r="A40" s="1282" t="s">
        <v>367</v>
      </c>
      <c r="B40" s="1282"/>
      <c r="C40" s="1282"/>
      <c r="D40" s="1282"/>
      <c r="E40" s="1282"/>
    </row>
  </sheetData>
  <mergeCells count="11">
    <mergeCell ref="A29:E29"/>
    <mergeCell ref="A40:E40"/>
    <mergeCell ref="A3:E3"/>
    <mergeCell ref="A14:E14"/>
    <mergeCell ref="A28:E28"/>
    <mergeCell ref="A7:E7"/>
    <mergeCell ref="A8:E8"/>
    <mergeCell ref="A4:E4"/>
    <mergeCell ref="A19:E19"/>
    <mergeCell ref="A15:E15"/>
    <mergeCell ref="A20:E20"/>
  </mergeCells>
  <hyperlinks>
    <hyperlink ref="A40" r:id="rId1" display="https://nirn.fpg.unc.edu/sites/nirn.fpg.unc.edu/files/imce/documents/NIRN Hexagon Discussion Analysis Tool_September2020_1.pdf" xr:uid="{00000000-0004-0000-0300-000000000000}"/>
  </hyperlinks>
  <pageMargins left="0.7" right="0.7" top="0.75" bottom="0.75" header="0.3" footer="0.3"/>
  <pageSetup scale="32" orientation="portrait" r:id="rId2"/>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B1:J92"/>
  <sheetViews>
    <sheetView topLeftCell="A25" zoomScale="90" zoomScaleNormal="90" workbookViewId="0">
      <selection activeCell="I12" sqref="I12"/>
    </sheetView>
  </sheetViews>
  <sheetFormatPr defaultColWidth="9" defaultRowHeight="16.8" x14ac:dyDescent="0.4"/>
  <cols>
    <col min="1" max="1" width="2.3984375" style="18" customWidth="1"/>
    <col min="2" max="2" width="44.69921875" style="18" customWidth="1"/>
    <col min="3" max="4" width="35.59765625" style="18" customWidth="1"/>
    <col min="5" max="7" width="30.59765625" style="18" customWidth="1"/>
    <col min="8" max="16384" width="9" style="18"/>
  </cols>
  <sheetData>
    <row r="1" spans="2:7" ht="71.25" customHeight="1" x14ac:dyDescent="0.4">
      <c r="B1" s="911" t="s">
        <v>368</v>
      </c>
      <c r="C1" s="1301" t="s">
        <v>369</v>
      </c>
      <c r="D1" s="1301"/>
      <c r="E1" s="1301"/>
      <c r="F1" s="1301"/>
      <c r="G1" s="1302"/>
    </row>
    <row r="2" spans="2:7" x14ac:dyDescent="0.4">
      <c r="C2" s="118"/>
      <c r="G2" s="122"/>
    </row>
    <row r="3" spans="2:7" ht="48" customHeight="1" x14ac:dyDescent="0.4">
      <c r="B3" s="910"/>
      <c r="C3" s="1314" t="s">
        <v>370</v>
      </c>
      <c r="D3" s="1315"/>
      <c r="E3" s="1315"/>
      <c r="F3" s="372"/>
      <c r="G3" s="122"/>
    </row>
    <row r="4" spans="2:7" ht="16.5" customHeight="1" x14ac:dyDescent="0.4">
      <c r="B4" s="372"/>
      <c r="C4" s="621"/>
      <c r="D4" s="622"/>
      <c r="E4" s="622"/>
      <c r="F4" s="372"/>
      <c r="G4" s="122"/>
    </row>
    <row r="5" spans="2:7" s="372" customFormat="1" ht="15" customHeight="1" x14ac:dyDescent="0.4">
      <c r="B5" s="224" t="s">
        <v>371</v>
      </c>
      <c r="C5" s="992">
        <v>1</v>
      </c>
      <c r="D5" s="622"/>
      <c r="E5" s="622"/>
      <c r="G5" s="599"/>
    </row>
    <row r="6" spans="2:7" s="372" customFormat="1" ht="15" customHeight="1" x14ac:dyDescent="0.4">
      <c r="B6" s="224" t="s">
        <v>372</v>
      </c>
      <c r="C6" s="992">
        <v>1</v>
      </c>
      <c r="D6" s="624"/>
      <c r="E6" s="622"/>
      <c r="G6" s="599"/>
    </row>
    <row r="7" spans="2:7" s="372" customFormat="1" ht="15" customHeight="1" x14ac:dyDescent="0.4">
      <c r="B7" s="224" t="s">
        <v>373</v>
      </c>
      <c r="C7" s="992">
        <v>48</v>
      </c>
      <c r="G7" s="599"/>
    </row>
    <row r="8" spans="2:7" s="372" customFormat="1" ht="15" customHeight="1" x14ac:dyDescent="0.4">
      <c r="B8" s="224" t="s">
        <v>374</v>
      </c>
      <c r="C8" s="992">
        <v>16</v>
      </c>
      <c r="G8" s="599"/>
    </row>
    <row r="9" spans="2:7" s="372" customFormat="1" ht="15" customHeight="1" x14ac:dyDescent="0.4">
      <c r="B9" s="224" t="s">
        <v>375</v>
      </c>
      <c r="C9" s="625">
        <f>(C7*2)*C6*(52/C8)</f>
        <v>312</v>
      </c>
      <c r="G9" s="599"/>
    </row>
    <row r="10" spans="2:7" s="372" customFormat="1" ht="15" customHeight="1" x14ac:dyDescent="0.4">
      <c r="B10" s="224" t="s">
        <v>376</v>
      </c>
      <c r="C10" s="623">
        <f>C14+D14</f>
        <v>5</v>
      </c>
      <c r="G10" s="599"/>
    </row>
    <row r="11" spans="2:7" s="372" customFormat="1" ht="28.2" customHeight="1" x14ac:dyDescent="0.4">
      <c r="B11" s="626" t="s">
        <v>377</v>
      </c>
      <c r="C11" s="992" t="s">
        <v>378</v>
      </c>
      <c r="D11" s="1305"/>
      <c r="E11" s="1305"/>
      <c r="F11" s="1305"/>
      <c r="G11" s="599"/>
    </row>
    <row r="12" spans="2:7" s="372" customFormat="1" ht="15" customHeight="1" x14ac:dyDescent="0.4">
      <c r="B12" s="627"/>
      <c r="C12" s="1303"/>
      <c r="D12" s="1304"/>
      <c r="G12" s="599"/>
    </row>
    <row r="13" spans="2:7" s="372" customFormat="1" ht="15" customHeight="1" x14ac:dyDescent="0.4">
      <c r="B13" s="628"/>
      <c r="C13" s="603" t="s">
        <v>379</v>
      </c>
      <c r="D13" s="1135" t="s">
        <v>380</v>
      </c>
      <c r="E13" s="629"/>
      <c r="F13" s="629"/>
      <c r="G13" s="667"/>
    </row>
    <row r="14" spans="2:7" s="372" customFormat="1" ht="15" customHeight="1" x14ac:dyDescent="0.4">
      <c r="B14" s="626" t="s">
        <v>381</v>
      </c>
      <c r="C14" s="1018">
        <v>1</v>
      </c>
      <c r="D14" s="1019">
        <v>4</v>
      </c>
      <c r="E14" s="606"/>
      <c r="F14" s="630"/>
      <c r="G14" s="683"/>
    </row>
    <row r="15" spans="2:7" s="372" customFormat="1" ht="15" customHeight="1" x14ac:dyDescent="0.4">
      <c r="B15" s="224" t="s">
        <v>382</v>
      </c>
      <c r="C15" s="631">
        <f>C14*C6</f>
        <v>1</v>
      </c>
      <c r="D15" s="632">
        <f>D14*C6</f>
        <v>4</v>
      </c>
      <c r="E15" s="606"/>
      <c r="F15" s="630"/>
      <c r="G15" s="683"/>
    </row>
    <row r="16" spans="2:7" s="372" customFormat="1" x14ac:dyDescent="0.4">
      <c r="B16" s="224" t="s">
        <v>383</v>
      </c>
      <c r="C16" s="1020">
        <v>50000</v>
      </c>
      <c r="D16" s="1021">
        <v>43000</v>
      </c>
      <c r="E16" s="606"/>
      <c r="F16" s="606"/>
      <c r="G16" s="684"/>
    </row>
    <row r="17" spans="2:8" s="372" customFormat="1" x14ac:dyDescent="0.4">
      <c r="B17" s="224" t="s">
        <v>384</v>
      </c>
      <c r="C17" s="936">
        <v>1</v>
      </c>
      <c r="D17" s="1022">
        <v>1</v>
      </c>
      <c r="E17" s="633"/>
      <c r="F17" s="633"/>
      <c r="G17" s="685"/>
    </row>
    <row r="18" spans="2:8" s="372" customFormat="1" x14ac:dyDescent="0.4">
      <c r="B18" s="224" t="s">
        <v>385</v>
      </c>
      <c r="C18" s="930">
        <v>0.25</v>
      </c>
      <c r="D18" s="930">
        <v>0.25</v>
      </c>
      <c r="E18" s="634"/>
      <c r="F18" s="634"/>
      <c r="G18" s="686"/>
    </row>
    <row r="19" spans="2:8" s="656" customFormat="1" ht="15" customHeight="1" x14ac:dyDescent="0.4">
      <c r="B19" s="635"/>
      <c r="C19" s="636"/>
      <c r="D19" s="637"/>
      <c r="E19" s="637"/>
      <c r="F19" s="637"/>
      <c r="G19" s="687"/>
    </row>
    <row r="20" spans="2:8" s="656" customFormat="1" ht="15" customHeight="1" x14ac:dyDescent="0.4">
      <c r="B20" s="224" t="s">
        <v>386</v>
      </c>
      <c r="C20" s="953">
        <v>0.57499999999999996</v>
      </c>
      <c r="D20" s="634"/>
      <c r="E20" s="634"/>
      <c r="F20" s="634"/>
      <c r="G20" s="686"/>
    </row>
    <row r="21" spans="2:8" s="372" customFormat="1" ht="15" customHeight="1" x14ac:dyDescent="0.4">
      <c r="B21" s="224" t="s">
        <v>387</v>
      </c>
      <c r="C21" s="953">
        <v>100</v>
      </c>
      <c r="D21" s="638"/>
      <c r="E21" s="634"/>
      <c r="F21" s="634"/>
      <c r="G21" s="686"/>
    </row>
    <row r="22" spans="2:8" s="372" customFormat="1" ht="15" customHeight="1" x14ac:dyDescent="0.4">
      <c r="B22" s="224" t="s">
        <v>388</v>
      </c>
      <c r="C22" s="1023">
        <v>7000</v>
      </c>
      <c r="D22" s="634"/>
      <c r="E22" s="634"/>
      <c r="F22" s="634"/>
      <c r="G22" s="686"/>
    </row>
    <row r="23" spans="2:8" s="372" customFormat="1" ht="15" customHeight="1" x14ac:dyDescent="0.4">
      <c r="B23" s="224" t="s">
        <v>389</v>
      </c>
      <c r="C23" s="1024">
        <v>7000</v>
      </c>
      <c r="D23" s="634"/>
      <c r="E23" s="634"/>
      <c r="F23" s="634"/>
      <c r="G23" s="686"/>
    </row>
    <row r="24" spans="2:8" s="372" customFormat="1" ht="15" customHeight="1" x14ac:dyDescent="0.4">
      <c r="B24" s="224" t="s">
        <v>390</v>
      </c>
      <c r="C24" s="1024">
        <v>7000</v>
      </c>
      <c r="D24" s="639"/>
      <c r="E24" s="639"/>
      <c r="F24" s="639"/>
      <c r="G24" s="688"/>
    </row>
    <row r="25" spans="2:8" s="372" customFormat="1" ht="17.399999999999999" thickBot="1" x14ac:dyDescent="0.45">
      <c r="B25" s="224"/>
      <c r="C25" s="774"/>
      <c r="D25" s="639"/>
      <c r="E25" s="639"/>
      <c r="F25" s="639"/>
      <c r="G25" s="688"/>
    </row>
    <row r="26" spans="2:8" ht="25.2" thickTop="1" x14ac:dyDescent="0.55000000000000004">
      <c r="C26" s="420" t="s">
        <v>391</v>
      </c>
      <c r="D26" s="421"/>
      <c r="E26" s="421"/>
      <c r="F26" s="421"/>
      <c r="G26" s="422"/>
    </row>
    <row r="27" spans="2:8" x14ac:dyDescent="0.4">
      <c r="C27" s="118"/>
      <c r="D27" s="289" t="s">
        <v>392</v>
      </c>
      <c r="E27" s="289" t="s">
        <v>393</v>
      </c>
      <c r="F27" s="289" t="s">
        <v>394</v>
      </c>
      <c r="G27" s="290" t="s">
        <v>334</v>
      </c>
    </row>
    <row r="28" spans="2:8" s="372" customFormat="1" ht="19.95" customHeight="1" x14ac:dyDescent="0.4">
      <c r="C28" s="265" t="s">
        <v>395</v>
      </c>
      <c r="D28" s="772"/>
      <c r="E28" s="772"/>
      <c r="F28" s="772"/>
      <c r="G28" s="773"/>
    </row>
    <row r="29" spans="2:8" ht="14.4" customHeight="1" x14ac:dyDescent="0.4">
      <c r="B29" s="19"/>
      <c r="C29" s="424" t="s">
        <v>396</v>
      </c>
      <c r="D29" s="425"/>
      <c r="E29" s="425"/>
      <c r="F29" s="425"/>
      <c r="G29" s="571"/>
    </row>
    <row r="30" spans="2:8" ht="14.4" customHeight="1" x14ac:dyDescent="0.4">
      <c r="C30" s="426" t="s">
        <v>397</v>
      </c>
      <c r="D30" s="427">
        <f>14000*C6</f>
        <v>14000</v>
      </c>
      <c r="E30" s="428"/>
      <c r="F30" s="428"/>
      <c r="G30" s="572"/>
      <c r="H30" s="19"/>
    </row>
    <row r="31" spans="2:8" ht="14.4" customHeight="1" x14ac:dyDescent="0.4">
      <c r="C31" s="429" t="s">
        <v>398</v>
      </c>
      <c r="D31" s="427">
        <f>7200*((D14+C14)/2)</f>
        <v>18000</v>
      </c>
      <c r="E31" s="428"/>
      <c r="F31" s="428"/>
      <c r="G31" s="573" t="s">
        <v>399</v>
      </c>
      <c r="H31" s="19"/>
    </row>
    <row r="32" spans="2:8" ht="14.4" customHeight="1" x14ac:dyDescent="0.4">
      <c r="C32" s="426" t="s">
        <v>400</v>
      </c>
      <c r="D32" s="427">
        <f>7000*C6</f>
        <v>7000</v>
      </c>
      <c r="E32" s="428"/>
      <c r="F32" s="428"/>
      <c r="G32" s="572"/>
      <c r="H32" s="19"/>
    </row>
    <row r="33" spans="3:10" ht="14.4" customHeight="1" x14ac:dyDescent="0.4">
      <c r="C33" s="429" t="s">
        <v>401</v>
      </c>
      <c r="D33" s="98">
        <f>3500*C6</f>
        <v>3500</v>
      </c>
      <c r="E33" s="98"/>
      <c r="F33" s="98"/>
      <c r="G33" s="570"/>
      <c r="H33" s="19"/>
    </row>
    <row r="34" spans="3:10" ht="14.4" customHeight="1" x14ac:dyDescent="0.4">
      <c r="C34" s="429"/>
      <c r="D34" s="10"/>
      <c r="E34" s="10"/>
      <c r="F34" s="10"/>
      <c r="G34" s="570"/>
    </row>
    <row r="35" spans="3:10" ht="14.4" customHeight="1" x14ac:dyDescent="0.4">
      <c r="C35" s="430" t="s">
        <v>402</v>
      </c>
      <c r="D35" s="10"/>
      <c r="E35" s="10"/>
      <c r="F35" s="10"/>
      <c r="G35" s="570"/>
    </row>
    <row r="36" spans="3:10" ht="14.4" customHeight="1" x14ac:dyDescent="0.4">
      <c r="C36" s="426" t="s">
        <v>403</v>
      </c>
      <c r="D36" s="10">
        <f>10000*C6</f>
        <v>10000</v>
      </c>
      <c r="E36" s="10"/>
      <c r="F36" s="10"/>
      <c r="G36" s="570"/>
    </row>
    <row r="37" spans="3:10" ht="14.4" customHeight="1" x14ac:dyDescent="0.4">
      <c r="C37" s="429" t="s">
        <v>398</v>
      </c>
      <c r="D37" s="78">
        <f>7200*((C14+D14)/2)</f>
        <v>18000</v>
      </c>
      <c r="E37" s="10"/>
      <c r="F37" s="10"/>
      <c r="G37" s="573" t="s">
        <v>399</v>
      </c>
    </row>
    <row r="38" spans="3:10" ht="14.4" customHeight="1" x14ac:dyDescent="0.4">
      <c r="C38" s="429" t="s">
        <v>404</v>
      </c>
      <c r="D38" s="10">
        <f>5000*C6</f>
        <v>5000</v>
      </c>
      <c r="E38" s="10"/>
      <c r="F38" s="10"/>
      <c r="G38" s="570"/>
    </row>
    <row r="39" spans="3:10" ht="14.4" customHeight="1" x14ac:dyDescent="0.4">
      <c r="C39" s="429" t="s">
        <v>405</v>
      </c>
      <c r="D39" s="10">
        <f>2500*C6</f>
        <v>2500</v>
      </c>
      <c r="E39" s="10"/>
      <c r="F39" s="10"/>
      <c r="G39" s="570"/>
    </row>
    <row r="40" spans="3:10" ht="14.4" customHeight="1" x14ac:dyDescent="0.4">
      <c r="C40" s="431"/>
      <c r="D40" s="10"/>
      <c r="E40" s="10"/>
      <c r="F40" s="10"/>
      <c r="G40" s="570"/>
    </row>
    <row r="41" spans="3:10" ht="14.4" customHeight="1" x14ac:dyDescent="0.4">
      <c r="C41" s="430" t="s">
        <v>406</v>
      </c>
      <c r="D41" s="42"/>
      <c r="E41" s="42"/>
      <c r="F41" s="42"/>
      <c r="G41" s="593"/>
    </row>
    <row r="42" spans="3:10" ht="14.4" customHeight="1" x14ac:dyDescent="0.4">
      <c r="C42" s="429" t="s">
        <v>407</v>
      </c>
      <c r="D42" s="10">
        <f>3000*$C$5</f>
        <v>3000</v>
      </c>
      <c r="E42" s="10">
        <f>3000*$C$5</f>
        <v>3000</v>
      </c>
      <c r="F42" s="10">
        <f t="shared" ref="F42" si="0">3000*$C$5</f>
        <v>3000</v>
      </c>
      <c r="G42" s="570"/>
      <c r="H42" s="432"/>
    </row>
    <row r="43" spans="3:10" ht="14.4" customHeight="1" x14ac:dyDescent="0.4">
      <c r="C43" s="426" t="s">
        <v>408</v>
      </c>
      <c r="D43" s="1233"/>
      <c r="E43" s="102">
        <f>C10*2250</f>
        <v>11250</v>
      </c>
      <c r="F43" s="102">
        <f>C10*1500</f>
        <v>7500</v>
      </c>
      <c r="G43" s="570"/>
    </row>
    <row r="44" spans="3:10" ht="14.4" customHeight="1" x14ac:dyDescent="0.4">
      <c r="C44" s="433"/>
      <c r="D44" s="434"/>
      <c r="E44" s="434"/>
      <c r="F44" s="434"/>
      <c r="G44" s="592"/>
    </row>
    <row r="45" spans="3:10" ht="14.4" customHeight="1" x14ac:dyDescent="0.4">
      <c r="C45" s="47" t="s">
        <v>409</v>
      </c>
      <c r="D45" s="12">
        <f>SUM(D30:D34, D42:D43)</f>
        <v>45500</v>
      </c>
      <c r="E45" s="12">
        <f>SUM(E42:E43)</f>
        <v>14250</v>
      </c>
      <c r="F45" s="12">
        <f>SUM(F42:F43)</f>
        <v>10500</v>
      </c>
      <c r="G45" s="591"/>
    </row>
    <row r="46" spans="3:10" x14ac:dyDescent="0.4">
      <c r="C46" s="121"/>
      <c r="D46" s="9"/>
      <c r="E46" s="9"/>
      <c r="F46" s="9"/>
      <c r="G46" s="584"/>
    </row>
    <row r="47" spans="3:10" s="372" customFormat="1" ht="19.95" customHeight="1" x14ac:dyDescent="0.4">
      <c r="C47" s="265" t="s">
        <v>410</v>
      </c>
      <c r="D47" s="738"/>
      <c r="E47" s="738"/>
      <c r="F47" s="770"/>
      <c r="G47" s="769"/>
      <c r="J47" s="771" t="s">
        <v>411</v>
      </c>
    </row>
    <row r="48" spans="3:10" x14ac:dyDescent="0.4">
      <c r="C48" s="51"/>
      <c r="D48" s="13"/>
      <c r="E48" s="13"/>
      <c r="F48" s="13"/>
      <c r="G48" s="583"/>
    </row>
    <row r="49" spans="2:7" x14ac:dyDescent="0.4">
      <c r="C49" s="32" t="s">
        <v>412</v>
      </c>
      <c r="D49" s="9"/>
      <c r="E49" s="9"/>
      <c r="F49" s="9"/>
      <c r="G49" s="585"/>
    </row>
    <row r="50" spans="2:7" x14ac:dyDescent="0.4">
      <c r="C50" s="33" t="s">
        <v>413</v>
      </c>
      <c r="D50" s="10">
        <f>((D15+C15)*$D$16*$D$17)</f>
        <v>215000</v>
      </c>
      <c r="E50" s="10">
        <f>(C15+D15)*$D$16*$D$17</f>
        <v>215000</v>
      </c>
      <c r="F50" s="10">
        <f>D15*$D$16*$D$17</f>
        <v>172000</v>
      </c>
      <c r="G50" s="585"/>
    </row>
    <row r="51" spans="2:7" x14ac:dyDescent="0.4">
      <c r="B51" s="435"/>
      <c r="C51" s="33" t="s">
        <v>414</v>
      </c>
      <c r="D51" s="17">
        <v>0</v>
      </c>
      <c r="E51" s="17">
        <v>0</v>
      </c>
      <c r="F51" s="10">
        <f>$C$16*C15*$C$17</f>
        <v>50000</v>
      </c>
      <c r="G51" s="586"/>
    </row>
    <row r="52" spans="2:7" x14ac:dyDescent="0.4">
      <c r="C52" s="33" t="s">
        <v>415</v>
      </c>
      <c r="D52" s="114">
        <f>(D50*$D$18)+(D51*$C$18)</f>
        <v>53750</v>
      </c>
      <c r="E52" s="114">
        <f>(E50*$D$18)+(E51*$C$18)</f>
        <v>53750</v>
      </c>
      <c r="F52" s="114">
        <f>(F50*$D$18)+(F51*$C$18)</f>
        <v>55500</v>
      </c>
      <c r="G52" s="588"/>
    </row>
    <row r="53" spans="2:7" x14ac:dyDescent="0.4">
      <c r="C53" s="34"/>
      <c r="D53" s="14"/>
      <c r="E53" s="14"/>
      <c r="F53" s="14"/>
      <c r="G53" s="587"/>
    </row>
    <row r="54" spans="2:7" x14ac:dyDescent="0.4">
      <c r="C54" s="32" t="s">
        <v>416</v>
      </c>
      <c r="D54" s="15"/>
      <c r="E54" s="15"/>
      <c r="F54" s="15"/>
      <c r="G54" s="589"/>
    </row>
    <row r="55" spans="2:7" x14ac:dyDescent="0.4">
      <c r="C55" s="33" t="s">
        <v>417</v>
      </c>
      <c r="D55" s="10">
        <f>15*12*($C$10)</f>
        <v>900</v>
      </c>
      <c r="E55" s="10">
        <f t="shared" ref="E55:F55" si="1">15*12*($C$10)</f>
        <v>900</v>
      </c>
      <c r="F55" s="10">
        <f t="shared" si="1"/>
        <v>900</v>
      </c>
      <c r="G55" s="590"/>
    </row>
    <row r="56" spans="2:7" x14ac:dyDescent="0.4">
      <c r="B56" s="435"/>
      <c r="C56" s="33" t="s">
        <v>418</v>
      </c>
      <c r="D56" s="10">
        <f>($C$21*$C$20)*$C$6*12</f>
        <v>689.99999999999989</v>
      </c>
      <c r="E56" s="10">
        <f>($C$21*$C$20)*$C$6*12</f>
        <v>689.99999999999989</v>
      </c>
      <c r="F56" s="10">
        <f>($C$21*$C$20)*$C$6*12</f>
        <v>689.99999999999989</v>
      </c>
      <c r="G56" s="582"/>
    </row>
    <row r="57" spans="2:7" x14ac:dyDescent="0.4">
      <c r="B57" s="435"/>
      <c r="C57" s="101" t="s">
        <v>419</v>
      </c>
      <c r="D57" s="98">
        <v>0</v>
      </c>
      <c r="E57" s="10">
        <v>0</v>
      </c>
      <c r="F57" s="10">
        <v>0</v>
      </c>
      <c r="G57" s="581"/>
    </row>
    <row r="58" spans="2:7" x14ac:dyDescent="0.4">
      <c r="B58" s="435"/>
      <c r="C58" s="44" t="s">
        <v>420</v>
      </c>
      <c r="D58" s="98">
        <f>600*($C$10)</f>
        <v>3000</v>
      </c>
      <c r="E58" s="10"/>
      <c r="F58" s="10"/>
      <c r="G58" s="581"/>
    </row>
    <row r="59" spans="2:7" x14ac:dyDescent="0.4">
      <c r="C59" s="44" t="s">
        <v>421</v>
      </c>
      <c r="D59" s="98">
        <f>C22*C5</f>
        <v>7000</v>
      </c>
      <c r="E59" s="98">
        <f>C22*C5</f>
        <v>7000</v>
      </c>
      <c r="F59" s="98">
        <f>C22*C5</f>
        <v>7000</v>
      </c>
      <c r="G59" s="582"/>
    </row>
    <row r="60" spans="2:7" x14ac:dyDescent="0.4">
      <c r="C60" s="44" t="s">
        <v>422</v>
      </c>
      <c r="D60" s="98">
        <f>C23*C5</f>
        <v>7000</v>
      </c>
      <c r="E60" s="98">
        <f>C23*C5</f>
        <v>7000</v>
      </c>
      <c r="F60" s="98">
        <f>C23*C5</f>
        <v>7000</v>
      </c>
      <c r="G60" s="582"/>
    </row>
    <row r="61" spans="2:7" x14ac:dyDescent="0.4">
      <c r="C61" s="44" t="s">
        <v>423</v>
      </c>
      <c r="D61" s="98">
        <f>C24*C5</f>
        <v>7000</v>
      </c>
      <c r="E61" s="98">
        <f>C24*C5</f>
        <v>7000</v>
      </c>
      <c r="F61" s="98">
        <f>C24*C5</f>
        <v>7000</v>
      </c>
      <c r="G61" s="582"/>
    </row>
    <row r="62" spans="2:7" x14ac:dyDescent="0.4">
      <c r="C62" s="436"/>
      <c r="D62" s="78"/>
      <c r="E62" s="78"/>
      <c r="F62" s="78"/>
      <c r="G62" s="575"/>
    </row>
    <row r="63" spans="2:7" x14ac:dyDescent="0.4">
      <c r="C63" s="54" t="s">
        <v>409</v>
      </c>
      <c r="D63" s="16">
        <f>SUM(D50:D61)</f>
        <v>294340</v>
      </c>
      <c r="E63" s="16">
        <f>SUM(E50:E61)</f>
        <v>291340</v>
      </c>
      <c r="F63" s="16">
        <f>SUM(F50:F61)</f>
        <v>300090</v>
      </c>
      <c r="G63" s="576"/>
    </row>
    <row r="64" spans="2:7" x14ac:dyDescent="0.4">
      <c r="C64" s="56"/>
      <c r="D64" s="17"/>
      <c r="E64" s="17"/>
      <c r="F64" s="17"/>
      <c r="G64" s="576"/>
    </row>
    <row r="65" spans="2:7" x14ac:dyDescent="0.4">
      <c r="C65" s="58" t="s">
        <v>424</v>
      </c>
      <c r="D65" s="16">
        <f>D45+D63</f>
        <v>339840</v>
      </c>
      <c r="E65" s="16">
        <f>E45+E63</f>
        <v>305590</v>
      </c>
      <c r="F65" s="16">
        <f>F45+F63</f>
        <v>310590</v>
      </c>
      <c r="G65" s="576"/>
    </row>
    <row r="66" spans="2:7" x14ac:dyDescent="0.4">
      <c r="C66" s="377"/>
      <c r="D66" s="17"/>
      <c r="E66" s="17"/>
      <c r="F66" s="17"/>
      <c r="G66" s="580"/>
    </row>
    <row r="67" spans="2:7" s="372" customFormat="1" ht="19.95" customHeight="1" x14ac:dyDescent="0.4">
      <c r="C67" s="265" t="s">
        <v>425</v>
      </c>
      <c r="D67" s="738"/>
      <c r="E67" s="738"/>
      <c r="F67" s="738"/>
      <c r="G67" s="769"/>
    </row>
    <row r="68" spans="2:7" x14ac:dyDescent="0.4">
      <c r="C68" s="32" t="s">
        <v>426</v>
      </c>
      <c r="D68" s="9"/>
      <c r="E68" s="9"/>
      <c r="F68" s="9"/>
      <c r="G68" s="574"/>
    </row>
    <row r="69" spans="2:7" ht="40.799999999999997" x14ac:dyDescent="0.4">
      <c r="C69" s="291" t="s">
        <v>427</v>
      </c>
      <c r="D69" s="10">
        <f>(D65*0.1)-D61</f>
        <v>26984</v>
      </c>
      <c r="E69" s="10">
        <f t="shared" ref="E69:F69" si="2">(E65*0.1)-E61</f>
        <v>23559</v>
      </c>
      <c r="F69" s="10">
        <f t="shared" si="2"/>
        <v>24059</v>
      </c>
      <c r="G69" s="570" t="s">
        <v>428</v>
      </c>
    </row>
    <row r="70" spans="2:7" x14ac:dyDescent="0.4">
      <c r="C70" s="93"/>
      <c r="D70" s="78"/>
      <c r="E70" s="78"/>
      <c r="F70" s="78"/>
      <c r="G70" s="575"/>
    </row>
    <row r="71" spans="2:7" x14ac:dyDescent="0.4">
      <c r="C71" s="58" t="s">
        <v>429</v>
      </c>
      <c r="D71" s="16">
        <f>SUM(D69:D70)</f>
        <v>26984</v>
      </c>
      <c r="E71" s="16">
        <f t="shared" ref="E71:F71" si="3">SUM(E69:E70)</f>
        <v>23559</v>
      </c>
      <c r="F71" s="16">
        <f t="shared" si="3"/>
        <v>24059</v>
      </c>
      <c r="G71" s="576"/>
    </row>
    <row r="72" spans="2:7" ht="17.399999999999999" thickBot="1" x14ac:dyDescent="0.45">
      <c r="C72" s="59"/>
      <c r="D72" s="434"/>
      <c r="E72" s="434"/>
      <c r="F72" s="434"/>
      <c r="G72" s="577"/>
    </row>
    <row r="73" spans="2:7" ht="32.4" customHeight="1" thickTop="1" x14ac:dyDescent="0.4">
      <c r="C73" s="35" t="s">
        <v>430</v>
      </c>
      <c r="D73" s="20">
        <f>D65+D71</f>
        <v>366824</v>
      </c>
      <c r="E73" s="20">
        <f>E65+E71</f>
        <v>329149</v>
      </c>
      <c r="F73" s="20">
        <f>F65+F71</f>
        <v>334649</v>
      </c>
      <c r="G73" s="578"/>
    </row>
    <row r="74" spans="2:7" ht="34.5" customHeight="1" x14ac:dyDescent="0.4">
      <c r="C74" s="776" t="s">
        <v>431</v>
      </c>
      <c r="D74" s="24">
        <f>D73/C9</f>
        <v>1175.7179487179487</v>
      </c>
      <c r="E74" s="24">
        <f>E73/C9</f>
        <v>1054.9647435897436</v>
      </c>
      <c r="F74" s="24">
        <f>F73/C9</f>
        <v>1072.5929487179487</v>
      </c>
      <c r="G74" s="579"/>
    </row>
    <row r="75" spans="2:7" x14ac:dyDescent="0.4">
      <c r="C75" s="118"/>
      <c r="G75" s="122"/>
    </row>
    <row r="76" spans="2:7" ht="14.4" customHeight="1" x14ac:dyDescent="0.4">
      <c r="C76" s="437" t="s">
        <v>432</v>
      </c>
      <c r="D76" s="438"/>
      <c r="E76" s="438"/>
      <c r="F76" s="439"/>
      <c r="G76" s="440"/>
    </row>
    <row r="77" spans="2:7" ht="14.4" customHeight="1" x14ac:dyDescent="0.4">
      <c r="C77" s="371" t="s">
        <v>433</v>
      </c>
      <c r="G77" s="122"/>
    </row>
    <row r="78" spans="2:7" ht="14.4" customHeight="1" x14ac:dyDescent="0.4">
      <c r="C78" s="371" t="s">
        <v>434</v>
      </c>
      <c r="G78" s="122"/>
    </row>
    <row r="79" spans="2:7" ht="14.4" customHeight="1" x14ac:dyDescent="0.4">
      <c r="C79" s="371" t="s">
        <v>435</v>
      </c>
      <c r="G79" s="122"/>
    </row>
    <row r="80" spans="2:7" ht="14.4" customHeight="1" x14ac:dyDescent="0.4">
      <c r="B80"/>
      <c r="C80" s="371" t="s">
        <v>436</v>
      </c>
      <c r="G80" s="122"/>
    </row>
    <row r="81" spans="3:7" ht="14.4" customHeight="1" x14ac:dyDescent="0.4">
      <c r="C81" s="371" t="s">
        <v>437</v>
      </c>
      <c r="G81" s="122"/>
    </row>
    <row r="82" spans="3:7" ht="19.95" customHeight="1" x14ac:dyDescent="0.4">
      <c r="C82" s="1306" t="s">
        <v>438</v>
      </c>
      <c r="D82" s="1307"/>
      <c r="E82" s="1307"/>
      <c r="F82" s="269"/>
      <c r="G82" s="268"/>
    </row>
    <row r="83" spans="3:7" ht="14.4" customHeight="1" x14ac:dyDescent="0.4">
      <c r="C83" s="441"/>
      <c r="D83" s="1156"/>
      <c r="E83" s="1156"/>
      <c r="G83" s="122"/>
    </row>
    <row r="84" spans="3:7" x14ac:dyDescent="0.4">
      <c r="C84" s="446" t="s">
        <v>439</v>
      </c>
      <c r="D84" s="447"/>
      <c r="E84" s="447"/>
      <c r="F84" s="448"/>
      <c r="G84" s="449"/>
    </row>
    <row r="85" spans="3:7" x14ac:dyDescent="0.4">
      <c r="C85" s="1308" t="s">
        <v>440</v>
      </c>
      <c r="D85" s="1309"/>
      <c r="E85" s="1309"/>
      <c r="F85" s="1309"/>
      <c r="G85" s="442"/>
    </row>
    <row r="86" spans="3:7" x14ac:dyDescent="0.4">
      <c r="C86" s="1310"/>
      <c r="D86" s="1311"/>
      <c r="E86" s="1311"/>
      <c r="F86" s="1311"/>
      <c r="G86" s="444"/>
    </row>
    <row r="87" spans="3:7" x14ac:dyDescent="0.4">
      <c r="C87" s="1312"/>
      <c r="D87" s="1313"/>
      <c r="E87" s="1313"/>
      <c r="F87" s="1313"/>
      <c r="G87" s="445"/>
    </row>
    <row r="88" spans="3:7" x14ac:dyDescent="0.4">
      <c r="C88" s="1295" t="s">
        <v>441</v>
      </c>
      <c r="D88" s="1296"/>
      <c r="E88" s="1296"/>
      <c r="F88" s="1296"/>
      <c r="G88" s="444"/>
    </row>
    <row r="89" spans="3:7" x14ac:dyDescent="0.4">
      <c r="C89" s="443" t="s">
        <v>442</v>
      </c>
      <c r="D89" s="386"/>
      <c r="E89" s="386"/>
      <c r="F89" s="386"/>
      <c r="G89" s="444"/>
    </row>
    <row r="90" spans="3:7" x14ac:dyDescent="0.4">
      <c r="C90" s="443" t="s">
        <v>443</v>
      </c>
      <c r="D90" s="386"/>
      <c r="E90" s="386"/>
      <c r="F90" s="386"/>
      <c r="G90" s="444"/>
    </row>
    <row r="91" spans="3:7" x14ac:dyDescent="0.4">
      <c r="C91" s="1297" t="s">
        <v>444</v>
      </c>
      <c r="D91" s="1298"/>
      <c r="E91" s="386"/>
      <c r="F91" s="386"/>
      <c r="G91" s="444"/>
    </row>
    <row r="92" spans="3:7" x14ac:dyDescent="0.4">
      <c r="C92" s="1299" t="s">
        <v>445</v>
      </c>
      <c r="D92" s="1300"/>
      <c r="E92" s="1300"/>
      <c r="F92" s="1300"/>
      <c r="G92" s="444"/>
    </row>
  </sheetData>
  <mergeCells count="9">
    <mergeCell ref="C88:F88"/>
    <mergeCell ref="C91:D91"/>
    <mergeCell ref="C92:F92"/>
    <mergeCell ref="C1:G1"/>
    <mergeCell ref="C12:D12"/>
    <mergeCell ref="D11:F11"/>
    <mergeCell ref="C82:E82"/>
    <mergeCell ref="C85:F87"/>
    <mergeCell ref="C3:E3"/>
  </mergeCells>
  <hyperlinks>
    <hyperlink ref="C92:F92" r:id="rId1" display="Click here for more on WSIPP's BSFT Benefit-Cost Analysis" xr:uid="{328A5331-816B-4437-8B62-95B76B8FE8EF}"/>
    <hyperlink ref="C77" r:id="rId2" xr:uid="{5F7819FC-46D3-4312-88F3-528F0FB38057}"/>
    <hyperlink ref="C78" r:id="rId3" xr:uid="{94400E99-16EA-4EA7-A299-7055E8E24E96}"/>
    <hyperlink ref="C79" r:id="rId4" xr:uid="{1DE387B4-7763-4F35-87BF-FEC02B5401E0}"/>
    <hyperlink ref="C80" r:id="rId5" xr:uid="{0ABA7277-311A-443B-87D3-4CABB06B09C1}"/>
    <hyperlink ref="C81" r:id="rId6" xr:uid="{B64656A0-C68A-4D5B-9BDB-E43B69864A40}"/>
  </hyperlinks>
  <pageMargins left="0.7" right="0.7" top="0.75" bottom="0.75" header="0.3" footer="0.3"/>
  <pageSetup scale="43" orientation="portrait" r:id="rId7"/>
  <rowBreaks count="1" manualBreakCount="1">
    <brk id="46" max="6" man="1"/>
  </rowBreaks>
  <colBreaks count="1" manualBreakCount="1">
    <brk id="7" max="1048575" man="1"/>
  </colBreaks>
  <drawing r:id="rId8"/>
  <legacyDrawing r:id="rId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86E9E-3BD3-44E4-AE73-8D2C3B1A5E11}">
  <dimension ref="A1:N96"/>
  <sheetViews>
    <sheetView zoomScaleNormal="100" workbookViewId="0">
      <selection activeCell="K5" sqref="K5"/>
    </sheetView>
  </sheetViews>
  <sheetFormatPr defaultColWidth="9" defaultRowHeight="16.8" x14ac:dyDescent="0.4"/>
  <cols>
    <col min="1" max="1" width="2.3984375" style="22" customWidth="1"/>
    <col min="2" max="2" width="39.19921875" style="22" customWidth="1"/>
    <col min="3" max="3" width="41.59765625" style="22" customWidth="1"/>
    <col min="4" max="4" width="19.19921875" style="22" customWidth="1"/>
    <col min="5" max="5" width="22.59765625" style="22" customWidth="1"/>
    <col min="6" max="6" width="44.8984375" style="22" customWidth="1"/>
    <col min="7" max="16384" width="9" style="22"/>
  </cols>
  <sheetData>
    <row r="1" spans="2:6" ht="73.5" customHeight="1" x14ac:dyDescent="0.4">
      <c r="B1" s="911" t="s">
        <v>368</v>
      </c>
      <c r="C1" s="1323" t="s">
        <v>446</v>
      </c>
      <c r="D1" s="1324"/>
      <c r="E1" s="1324"/>
      <c r="F1" s="1325"/>
    </row>
    <row r="2" spans="2:6" x14ac:dyDescent="0.4">
      <c r="C2" s="168"/>
      <c r="F2" s="333"/>
    </row>
    <row r="3" spans="2:6" ht="67.2" customHeight="1" x14ac:dyDescent="0.4">
      <c r="B3" s="18"/>
      <c r="C3" s="1338" t="s">
        <v>370</v>
      </c>
      <c r="D3" s="1339"/>
      <c r="E3" s="1339"/>
      <c r="F3" s="122"/>
    </row>
    <row r="4" spans="2:6" s="86" customFormat="1" x14ac:dyDescent="0.4">
      <c r="B4" s="372"/>
      <c r="C4" s="689"/>
      <c r="D4" s="690"/>
      <c r="E4" s="372"/>
      <c r="F4" s="599"/>
    </row>
    <row r="5" spans="2:6" s="86" customFormat="1" ht="15" customHeight="1" x14ac:dyDescent="0.4">
      <c r="B5" s="224" t="s">
        <v>371</v>
      </c>
      <c r="C5" s="1015">
        <v>1</v>
      </c>
      <c r="D5" s="1322"/>
      <c r="E5" s="1322"/>
      <c r="F5" s="691"/>
    </row>
    <row r="6" spans="2:6" s="86" customFormat="1" ht="15" customHeight="1" x14ac:dyDescent="0.4">
      <c r="B6" s="224" t="s">
        <v>447</v>
      </c>
      <c r="C6" s="601">
        <f>4*C5</f>
        <v>4</v>
      </c>
      <c r="D6" s="1326"/>
      <c r="E6" s="1326"/>
      <c r="F6" s="619"/>
    </row>
    <row r="7" spans="2:6" s="86" customFormat="1" ht="15" customHeight="1" x14ac:dyDescent="0.4">
      <c r="B7" s="224" t="s">
        <v>448</v>
      </c>
      <c r="C7" s="1015">
        <v>12</v>
      </c>
      <c r="D7" s="630"/>
      <c r="E7" s="630"/>
      <c r="F7" s="692"/>
    </row>
    <row r="8" spans="2:6" s="86" customFormat="1" ht="15" customHeight="1" x14ac:dyDescent="0.4">
      <c r="B8" s="224" t="s">
        <v>449</v>
      </c>
      <c r="C8" s="693">
        <f>C6*22</f>
        <v>88</v>
      </c>
      <c r="D8" s="630"/>
      <c r="E8" s="630"/>
      <c r="F8" s="692"/>
    </row>
    <row r="9" spans="2:6" s="86" customFormat="1" ht="15" customHeight="1" x14ac:dyDescent="0.4">
      <c r="B9" s="224" t="s">
        <v>450</v>
      </c>
      <c r="C9" s="601">
        <f>C6*2+C6/4</f>
        <v>9</v>
      </c>
      <c r="D9" s="630"/>
      <c r="E9" s="630"/>
      <c r="F9" s="694"/>
    </row>
    <row r="10" spans="2:6" s="86" customFormat="1" ht="15" customHeight="1" x14ac:dyDescent="0.4">
      <c r="B10" s="224"/>
      <c r="C10" s="296"/>
      <c r="D10" s="630"/>
      <c r="E10" s="630"/>
      <c r="F10" s="672"/>
    </row>
    <row r="11" spans="2:6" s="86" customFormat="1" ht="15" customHeight="1" x14ac:dyDescent="0.4">
      <c r="B11" s="224" t="s">
        <v>451</v>
      </c>
      <c r="C11" s="1015">
        <v>0.57499999999999996</v>
      </c>
      <c r="D11" s="630"/>
      <c r="E11" s="630"/>
      <c r="F11" s="672"/>
    </row>
    <row r="12" spans="2:6" s="86" customFormat="1" ht="15" customHeight="1" x14ac:dyDescent="0.4">
      <c r="B12" s="224" t="s">
        <v>452</v>
      </c>
      <c r="C12" s="1015">
        <v>300</v>
      </c>
      <c r="D12" s="630"/>
      <c r="E12" s="630"/>
      <c r="F12" s="672"/>
    </row>
    <row r="13" spans="2:6" s="86" customFormat="1" ht="15" customHeight="1" x14ac:dyDescent="0.4">
      <c r="B13" s="627"/>
      <c r="C13" s="695"/>
      <c r="D13" s="630"/>
      <c r="E13" s="630"/>
      <c r="F13" s="599"/>
    </row>
    <row r="14" spans="2:6" s="86" customFormat="1" ht="15" customHeight="1" x14ac:dyDescent="0.4">
      <c r="B14" s="628"/>
      <c r="C14" s="603" t="s">
        <v>379</v>
      </c>
      <c r="D14" s="1327" t="s">
        <v>453</v>
      </c>
      <c r="E14" s="1327"/>
      <c r="F14" s="667" t="s">
        <v>454</v>
      </c>
    </row>
    <row r="15" spans="2:6" s="86" customFormat="1" ht="15" customHeight="1" x14ac:dyDescent="0.4">
      <c r="B15" s="925" t="s">
        <v>455</v>
      </c>
      <c r="C15" s="926">
        <f>1*C5</f>
        <v>1</v>
      </c>
      <c r="D15" s="1328">
        <f>4*C5</f>
        <v>4</v>
      </c>
      <c r="E15" s="1329"/>
      <c r="F15" s="696">
        <f>4*C5</f>
        <v>4</v>
      </c>
    </row>
    <row r="16" spans="2:6" s="86" customFormat="1" ht="15" customHeight="1" x14ac:dyDescent="0.4">
      <c r="B16" s="224" t="s">
        <v>383</v>
      </c>
      <c r="C16" s="1016">
        <v>50000</v>
      </c>
      <c r="D16" s="1332">
        <v>43000</v>
      </c>
      <c r="E16" s="1333"/>
      <c r="F16" s="929">
        <v>40000</v>
      </c>
    </row>
    <row r="17" spans="2:14" s="86" customFormat="1" ht="15" customHeight="1" x14ac:dyDescent="0.4">
      <c r="B17" s="224" t="s">
        <v>384</v>
      </c>
      <c r="C17" s="936">
        <v>1</v>
      </c>
      <c r="D17" s="1334">
        <v>1</v>
      </c>
      <c r="E17" s="1335"/>
      <c r="F17" s="937">
        <v>1</v>
      </c>
    </row>
    <row r="18" spans="2:14" s="86" customFormat="1" ht="15" customHeight="1" x14ac:dyDescent="0.4">
      <c r="B18" s="224" t="s">
        <v>385</v>
      </c>
      <c r="C18" s="930">
        <v>0.25</v>
      </c>
      <c r="D18" s="1336">
        <v>0.25</v>
      </c>
      <c r="E18" s="1337"/>
      <c r="F18" s="930">
        <v>0.25</v>
      </c>
    </row>
    <row r="19" spans="2:14" x14ac:dyDescent="0.4">
      <c r="B19" s="169"/>
      <c r="C19" s="511"/>
      <c r="D19" s="347"/>
      <c r="E19" s="347"/>
      <c r="F19" s="348"/>
    </row>
    <row r="20" spans="2:14" s="372" customFormat="1" ht="15" customHeight="1" x14ac:dyDescent="0.4">
      <c r="B20" s="224" t="s">
        <v>388</v>
      </c>
      <c r="C20" s="917" t="s">
        <v>456</v>
      </c>
      <c r="D20" s="634"/>
      <c r="E20" s="634"/>
      <c r="F20" s="634"/>
      <c r="G20" s="686"/>
    </row>
    <row r="21" spans="2:14" s="18" customFormat="1" ht="14.4" customHeight="1" x14ac:dyDescent="0.4">
      <c r="B21" s="7" t="s">
        <v>457</v>
      </c>
      <c r="C21" s="1017">
        <v>1</v>
      </c>
      <c r="D21" s="264"/>
      <c r="E21" s="264"/>
      <c r="F21" s="475"/>
      <c r="I21" s="462"/>
      <c r="J21" s="462"/>
      <c r="K21" s="462"/>
      <c r="L21" s="462"/>
      <c r="M21" s="462"/>
      <c r="N21" s="462"/>
    </row>
    <row r="22" spans="2:14" s="18" customFormat="1" ht="14.4" customHeight="1" x14ac:dyDescent="0.4">
      <c r="B22" s="7" t="s">
        <v>458</v>
      </c>
      <c r="C22" s="1017">
        <v>1</v>
      </c>
      <c r="D22" s="264"/>
      <c r="E22" s="264"/>
      <c r="F22" s="475"/>
      <c r="I22" s="462"/>
      <c r="J22" s="462"/>
      <c r="K22" s="462"/>
      <c r="L22" s="462"/>
      <c r="M22" s="462"/>
      <c r="N22" s="462"/>
    </row>
    <row r="23" spans="2:14" x14ac:dyDescent="0.4">
      <c r="C23" s="168"/>
      <c r="F23" s="333"/>
    </row>
    <row r="24" spans="2:14" ht="17.399999999999999" thickBot="1" x14ac:dyDescent="0.45">
      <c r="C24" s="644"/>
      <c r="F24" s="333"/>
    </row>
    <row r="25" spans="2:14" ht="31.2" customHeight="1" thickTop="1" x14ac:dyDescent="0.55000000000000004">
      <c r="C25" s="237" t="s">
        <v>459</v>
      </c>
      <c r="D25" s="346"/>
      <c r="E25" s="346"/>
      <c r="F25" s="345"/>
    </row>
    <row r="26" spans="2:14" ht="13.2" customHeight="1" x14ac:dyDescent="0.4">
      <c r="C26" s="168"/>
      <c r="D26" s="648" t="s">
        <v>392</v>
      </c>
      <c r="E26" s="648" t="s">
        <v>460</v>
      </c>
      <c r="F26" s="649" t="s">
        <v>334</v>
      </c>
    </row>
    <row r="27" spans="2:14" ht="19.95" customHeight="1" x14ac:dyDescent="0.4">
      <c r="C27" s="778" t="s">
        <v>395</v>
      </c>
      <c r="D27" s="170"/>
      <c r="E27" s="170"/>
      <c r="F27" s="344"/>
    </row>
    <row r="28" spans="2:14" ht="22.95" customHeight="1" x14ac:dyDescent="0.4">
      <c r="C28" s="343" t="s">
        <v>461</v>
      </c>
      <c r="D28" s="171"/>
      <c r="E28" s="171"/>
      <c r="F28" s="43"/>
    </row>
    <row r="29" spans="2:14" ht="20.399999999999999" customHeight="1" x14ac:dyDescent="0.4">
      <c r="C29" s="172" t="s">
        <v>462</v>
      </c>
      <c r="D29" s="338">
        <f>160000/C5</f>
        <v>160000</v>
      </c>
      <c r="E29" s="174"/>
      <c r="F29" s="640" t="s">
        <v>463</v>
      </c>
      <c r="G29" s="342"/>
    </row>
    <row r="30" spans="2:14" ht="20.399999999999999" customHeight="1" x14ac:dyDescent="0.4">
      <c r="C30" s="339" t="s">
        <v>464</v>
      </c>
      <c r="D30" s="174">
        <f>1500*(C15+D15+F15)</f>
        <v>13500</v>
      </c>
      <c r="E30" s="174"/>
      <c r="F30" s="88" t="s">
        <v>465</v>
      </c>
      <c r="G30" s="342"/>
    </row>
    <row r="31" spans="2:14" ht="13.95" customHeight="1" x14ac:dyDescent="0.4">
      <c r="C31" s="339"/>
      <c r="D31" s="174"/>
      <c r="E31" s="174"/>
      <c r="F31" s="89"/>
      <c r="G31" s="342"/>
    </row>
    <row r="32" spans="2:14" ht="13.95" customHeight="1" x14ac:dyDescent="0.4">
      <c r="C32" s="343" t="s">
        <v>406</v>
      </c>
      <c r="D32" s="171"/>
      <c r="E32" s="171"/>
      <c r="F32" s="43"/>
      <c r="G32" s="342"/>
    </row>
    <row r="33" spans="3:9" ht="20.399999999999999" customHeight="1" x14ac:dyDescent="0.4">
      <c r="C33" s="172" t="s">
        <v>466</v>
      </c>
      <c r="D33" s="174">
        <f>15000*C6</f>
        <v>60000</v>
      </c>
      <c r="E33" s="174">
        <f>15000*C6</f>
        <v>60000</v>
      </c>
      <c r="F33" s="89" t="s">
        <v>467</v>
      </c>
    </row>
    <row r="34" spans="3:9" ht="13.95" customHeight="1" x14ac:dyDescent="0.4">
      <c r="C34" s="175"/>
      <c r="D34" s="173"/>
      <c r="E34" s="173"/>
      <c r="F34" s="167"/>
    </row>
    <row r="35" spans="3:9" x14ac:dyDescent="0.4">
      <c r="C35" s="341" t="s">
        <v>409</v>
      </c>
      <c r="D35" s="178">
        <f>SUM(D29:D34)</f>
        <v>233500</v>
      </c>
      <c r="E35" s="178">
        <f>SUM(E33:E34)</f>
        <v>60000</v>
      </c>
      <c r="F35" s="48"/>
    </row>
    <row r="36" spans="3:9" x14ac:dyDescent="0.4">
      <c r="C36" s="179"/>
      <c r="D36" s="180"/>
      <c r="E36" s="180"/>
      <c r="F36" s="27"/>
    </row>
    <row r="37" spans="3:9" s="86" customFormat="1" ht="19.95" customHeight="1" x14ac:dyDescent="0.4">
      <c r="C37" s="778" t="s">
        <v>410</v>
      </c>
      <c r="D37" s="779"/>
      <c r="E37" s="779"/>
      <c r="F37" s="740"/>
      <c r="I37" s="780" t="s">
        <v>411</v>
      </c>
    </row>
    <row r="38" spans="3:9" x14ac:dyDescent="0.4">
      <c r="C38" s="181"/>
      <c r="D38" s="182"/>
      <c r="E38" s="182"/>
      <c r="F38" s="26"/>
    </row>
    <row r="39" spans="3:9" x14ac:dyDescent="0.4">
      <c r="C39" s="183" t="s">
        <v>412</v>
      </c>
      <c r="D39" s="180"/>
      <c r="E39" s="180"/>
      <c r="F39" s="26"/>
    </row>
    <row r="40" spans="3:9" x14ac:dyDescent="0.4">
      <c r="C40" s="172" t="s">
        <v>468</v>
      </c>
      <c r="D40" s="174">
        <f>(D15*D16*D17)</f>
        <v>172000</v>
      </c>
      <c r="E40" s="174">
        <f>D40</f>
        <v>172000</v>
      </c>
      <c r="F40" s="26"/>
    </row>
    <row r="41" spans="3:9" x14ac:dyDescent="0.4">
      <c r="C41" s="172" t="s">
        <v>469</v>
      </c>
      <c r="D41" s="174">
        <f>(F15*F16*F17)</f>
        <v>160000</v>
      </c>
      <c r="E41" s="174">
        <f>D41</f>
        <v>160000</v>
      </c>
      <c r="F41" s="26"/>
    </row>
    <row r="42" spans="3:9" x14ac:dyDescent="0.4">
      <c r="C42" s="172" t="s">
        <v>414</v>
      </c>
      <c r="D42" s="174">
        <f>(C15*C16*C17)</f>
        <v>50000</v>
      </c>
      <c r="E42" s="174">
        <f>D42</f>
        <v>50000</v>
      </c>
      <c r="F42" s="26"/>
    </row>
    <row r="43" spans="3:9" x14ac:dyDescent="0.4">
      <c r="C43" s="172" t="s">
        <v>415</v>
      </c>
      <c r="D43" s="184">
        <f>((D40*D18)+(D41*F18)+(D42*F18))</f>
        <v>95500</v>
      </c>
      <c r="E43" s="184">
        <f>((E40*D18)+(E41*D18)+(E42*D18))</f>
        <v>95500</v>
      </c>
      <c r="F43" s="29"/>
    </row>
    <row r="44" spans="3:9" x14ac:dyDescent="0.4">
      <c r="C44" s="185"/>
      <c r="D44" s="186"/>
      <c r="E44" s="186"/>
      <c r="F44" s="27"/>
    </row>
    <row r="45" spans="3:9" x14ac:dyDescent="0.4">
      <c r="C45" s="183" t="s">
        <v>416</v>
      </c>
      <c r="D45" s="187"/>
      <c r="E45" s="187"/>
      <c r="F45" s="28"/>
    </row>
    <row r="46" spans="3:9" x14ac:dyDescent="0.4">
      <c r="C46" s="172" t="s">
        <v>418</v>
      </c>
      <c r="D46" s="174">
        <f>(C12*C11)*C6*12</f>
        <v>8280</v>
      </c>
      <c r="E46" s="174">
        <f>(C12*C11)*C6*12</f>
        <v>8280</v>
      </c>
      <c r="F46" s="45" t="s">
        <v>470</v>
      </c>
    </row>
    <row r="47" spans="3:9" x14ac:dyDescent="0.4">
      <c r="C47" s="188" t="s">
        <v>471</v>
      </c>
      <c r="D47" s="645">
        <f>300*C6</f>
        <v>1200</v>
      </c>
      <c r="E47" s="174">
        <f>150*C6</f>
        <v>600</v>
      </c>
      <c r="F47" s="620" t="s">
        <v>472</v>
      </c>
    </row>
    <row r="48" spans="3:9" x14ac:dyDescent="0.4">
      <c r="C48" s="339" t="s">
        <v>473</v>
      </c>
      <c r="D48" s="645">
        <f>1000*C6</f>
        <v>4000</v>
      </c>
      <c r="E48" s="645">
        <f>500*C6</f>
        <v>2000</v>
      </c>
      <c r="F48" s="45" t="s">
        <v>474</v>
      </c>
    </row>
    <row r="49" spans="3:6" x14ac:dyDescent="0.4">
      <c r="C49" s="339" t="s">
        <v>475</v>
      </c>
      <c r="D49" s="174">
        <f>30*12*C9</f>
        <v>3240</v>
      </c>
      <c r="E49" s="174">
        <f>30*12*C9</f>
        <v>3240</v>
      </c>
      <c r="F49" s="45" t="s">
        <v>476</v>
      </c>
    </row>
    <row r="50" spans="3:6" x14ac:dyDescent="0.4">
      <c r="C50" s="339" t="s">
        <v>422</v>
      </c>
      <c r="D50" s="174">
        <f>C21*C5</f>
        <v>1</v>
      </c>
      <c r="E50" s="174">
        <f>C21*C5</f>
        <v>1</v>
      </c>
      <c r="F50" s="45"/>
    </row>
    <row r="51" spans="3:6" x14ac:dyDescent="0.4">
      <c r="C51" s="339" t="s">
        <v>423</v>
      </c>
      <c r="D51" s="174">
        <f>C22*C5</f>
        <v>1</v>
      </c>
      <c r="E51" s="174">
        <f>C22*C5</f>
        <v>1</v>
      </c>
      <c r="F51" s="45"/>
    </row>
    <row r="52" spans="3:6" x14ac:dyDescent="0.4">
      <c r="C52" s="646" t="s">
        <v>416</v>
      </c>
      <c r="D52" s="174"/>
      <c r="E52" s="173"/>
      <c r="F52" s="45"/>
    </row>
    <row r="53" spans="3:6" x14ac:dyDescent="0.4">
      <c r="C53" s="168"/>
      <c r="E53" s="647"/>
      <c r="F53" s="29"/>
    </row>
    <row r="54" spans="3:6" x14ac:dyDescent="0.4">
      <c r="C54" s="189" t="s">
        <v>409</v>
      </c>
      <c r="D54" s="190">
        <f>SUM(D40:D53)</f>
        <v>494222</v>
      </c>
      <c r="E54" s="190">
        <f>SUM(E40:E53)</f>
        <v>491622</v>
      </c>
      <c r="F54" s="55"/>
    </row>
    <row r="55" spans="3:6" x14ac:dyDescent="0.4">
      <c r="C55" s="191"/>
      <c r="D55" s="180"/>
      <c r="E55" s="180"/>
      <c r="F55" s="57"/>
    </row>
    <row r="56" spans="3:6" x14ac:dyDescent="0.4">
      <c r="C56" s="193" t="s">
        <v>424</v>
      </c>
      <c r="D56" s="190">
        <f>D35+D54</f>
        <v>727722</v>
      </c>
      <c r="E56" s="190">
        <f>E35+E54</f>
        <v>551622</v>
      </c>
      <c r="F56" s="55"/>
    </row>
    <row r="57" spans="3:6" x14ac:dyDescent="0.4">
      <c r="C57" s="194"/>
      <c r="D57" s="192"/>
      <c r="E57" s="192"/>
      <c r="F57" s="57"/>
    </row>
    <row r="58" spans="3:6" s="86" customFormat="1" ht="19.95" customHeight="1" x14ac:dyDescent="0.4">
      <c r="C58" s="778" t="s">
        <v>425</v>
      </c>
      <c r="D58" s="779"/>
      <c r="E58" s="779"/>
      <c r="F58" s="740"/>
    </row>
    <row r="59" spans="3:6" x14ac:dyDescent="0.4">
      <c r="C59" s="183" t="s">
        <v>426</v>
      </c>
      <c r="D59" s="703"/>
      <c r="E59" s="703"/>
      <c r="F59" s="27"/>
    </row>
    <row r="60" spans="3:6" ht="27.6" x14ac:dyDescent="0.4">
      <c r="C60" s="291" t="s">
        <v>427</v>
      </c>
      <c r="D60" s="174">
        <f>(D56*0.1)-D51</f>
        <v>72771.199999999997</v>
      </c>
      <c r="E60" s="340">
        <f>(E56*0.1)-E51</f>
        <v>55161.200000000004</v>
      </c>
      <c r="F60" s="89" t="s">
        <v>428</v>
      </c>
    </row>
    <row r="61" spans="3:6" x14ac:dyDescent="0.4">
      <c r="C61" s="175"/>
      <c r="D61" s="173"/>
      <c r="E61" s="173"/>
      <c r="F61" s="27"/>
    </row>
    <row r="62" spans="3:6" x14ac:dyDescent="0.4">
      <c r="C62" s="193" t="s">
        <v>429</v>
      </c>
      <c r="D62" s="190">
        <f>SUM(D60:D61)</f>
        <v>72771.199999999997</v>
      </c>
      <c r="E62" s="190">
        <f>SUM(E60:E61)</f>
        <v>55161.200000000004</v>
      </c>
      <c r="F62" s="337"/>
    </row>
    <row r="63" spans="3:6" x14ac:dyDescent="0.4">
      <c r="C63" s="194"/>
      <c r="D63" s="176"/>
      <c r="E63" s="176"/>
      <c r="F63" s="336"/>
    </row>
    <row r="64" spans="3:6" ht="17.399999999999999" thickBot="1" x14ac:dyDescent="0.45">
      <c r="C64" s="194"/>
      <c r="D64" s="176"/>
      <c r="E64" s="176"/>
      <c r="F64" s="336"/>
    </row>
    <row r="65" spans="3:7" ht="32.4" customHeight="1" thickTop="1" x14ac:dyDescent="0.4">
      <c r="C65" s="177" t="s">
        <v>430</v>
      </c>
      <c r="D65" s="195">
        <f>D56+D62</f>
        <v>800493.2</v>
      </c>
      <c r="E65" s="195">
        <f>E56+E62</f>
        <v>606783.19999999995</v>
      </c>
      <c r="F65" s="335"/>
    </row>
    <row r="66" spans="3:7" ht="34.5" customHeight="1" thickBot="1" x14ac:dyDescent="0.45">
      <c r="C66" s="196" t="s">
        <v>477</v>
      </c>
      <c r="D66" s="197">
        <f>D65/C8</f>
        <v>9096.5136363636357</v>
      </c>
      <c r="E66" s="197">
        <f>E65/C8</f>
        <v>6895.2636363636357</v>
      </c>
      <c r="F66" s="334"/>
    </row>
    <row r="67" spans="3:7" ht="43.95" customHeight="1" thickTop="1" x14ac:dyDescent="0.4">
      <c r="C67" s="641"/>
      <c r="D67" s="642"/>
      <c r="E67" s="642"/>
      <c r="F67" s="643"/>
    </row>
    <row r="68" spans="3:7" s="783" customFormat="1" x14ac:dyDescent="0.4">
      <c r="C68" s="784" t="s">
        <v>478</v>
      </c>
      <c r="F68" s="785"/>
    </row>
    <row r="69" spans="3:7" s="783" customFormat="1" ht="8.4" customHeight="1" x14ac:dyDescent="0.4">
      <c r="C69" s="800"/>
      <c r="E69" s="806"/>
      <c r="F69" s="789"/>
    </row>
    <row r="70" spans="3:7" x14ac:dyDescent="0.4">
      <c r="C70" s="802" t="s">
        <v>479</v>
      </c>
      <c r="D70" s="801"/>
      <c r="E70" s="802" t="s">
        <v>406</v>
      </c>
      <c r="F70" s="804"/>
      <c r="G70" s="803"/>
    </row>
    <row r="71" spans="3:7" s="67" customFormat="1" ht="15" x14ac:dyDescent="0.35">
      <c r="C71" s="794" t="s">
        <v>480</v>
      </c>
      <c r="D71" s="790"/>
      <c r="E71" s="807" t="s">
        <v>467</v>
      </c>
      <c r="F71" s="805"/>
    </row>
    <row r="72" spans="3:7" s="67" customFormat="1" ht="32.4" customHeight="1" x14ac:dyDescent="0.35">
      <c r="C72" s="1330" t="s">
        <v>481</v>
      </c>
      <c r="D72" s="1331"/>
      <c r="E72" s="792" t="s">
        <v>482</v>
      </c>
      <c r="F72" s="790"/>
    </row>
    <row r="73" spans="3:7" s="67" customFormat="1" ht="15" x14ac:dyDescent="0.35">
      <c r="C73" s="796" t="s">
        <v>483</v>
      </c>
      <c r="D73" s="790"/>
      <c r="E73" s="793"/>
      <c r="F73" s="790"/>
    </row>
    <row r="74" spans="3:7" s="67" customFormat="1" ht="15" x14ac:dyDescent="0.35">
      <c r="C74" s="793"/>
      <c r="D74" s="790"/>
      <c r="E74" s="793"/>
      <c r="F74" s="790"/>
    </row>
    <row r="75" spans="3:7" s="67" customFormat="1" ht="15" x14ac:dyDescent="0.35">
      <c r="C75" s="797" t="s">
        <v>484</v>
      </c>
      <c r="D75" s="798"/>
      <c r="E75" s="794" t="s">
        <v>484</v>
      </c>
      <c r="F75" s="790"/>
    </row>
    <row r="76" spans="3:7" s="67" customFormat="1" ht="15" x14ac:dyDescent="0.35">
      <c r="C76" s="793" t="s">
        <v>485</v>
      </c>
      <c r="D76" s="790"/>
      <c r="E76" s="793" t="s">
        <v>486</v>
      </c>
      <c r="F76" s="790"/>
    </row>
    <row r="77" spans="3:7" s="67" customFormat="1" ht="15" x14ac:dyDescent="0.35">
      <c r="C77" s="796" t="s">
        <v>487</v>
      </c>
      <c r="D77" s="790"/>
      <c r="E77" s="793" t="s">
        <v>488</v>
      </c>
      <c r="F77" s="790"/>
    </row>
    <row r="78" spans="3:7" s="67" customFormat="1" ht="15" x14ac:dyDescent="0.35">
      <c r="C78" s="793" t="s">
        <v>489</v>
      </c>
      <c r="D78" s="790"/>
      <c r="E78" s="793" t="s">
        <v>490</v>
      </c>
      <c r="F78" s="790"/>
    </row>
    <row r="79" spans="3:7" s="67" customFormat="1" ht="15" x14ac:dyDescent="0.35">
      <c r="C79" s="796" t="s">
        <v>491</v>
      </c>
      <c r="D79" s="790"/>
      <c r="E79" s="793" t="s">
        <v>492</v>
      </c>
      <c r="F79" s="790"/>
    </row>
    <row r="80" spans="3:7" s="67" customFormat="1" ht="15" x14ac:dyDescent="0.35">
      <c r="C80" s="793" t="s">
        <v>493</v>
      </c>
      <c r="D80" s="790"/>
      <c r="E80" s="793" t="s">
        <v>494</v>
      </c>
      <c r="F80" s="790"/>
    </row>
    <row r="81" spans="1:7" s="67" customFormat="1" ht="15" x14ac:dyDescent="0.35">
      <c r="C81" s="796" t="s">
        <v>495</v>
      </c>
      <c r="D81" s="790"/>
      <c r="E81" s="793" t="s">
        <v>496</v>
      </c>
      <c r="F81" s="790"/>
    </row>
    <row r="82" spans="1:7" s="67" customFormat="1" ht="15" x14ac:dyDescent="0.35">
      <c r="C82" s="793" t="s">
        <v>497</v>
      </c>
      <c r="D82" s="790"/>
      <c r="E82" s="793" t="s">
        <v>498</v>
      </c>
      <c r="F82" s="790"/>
    </row>
    <row r="83" spans="1:7" s="67" customFormat="1" ht="15.9" customHeight="1" x14ac:dyDescent="0.35">
      <c r="C83" s="796" t="s">
        <v>499</v>
      </c>
      <c r="D83" s="790"/>
      <c r="E83" s="793" t="s">
        <v>500</v>
      </c>
      <c r="F83" s="790"/>
    </row>
    <row r="84" spans="1:7" s="67" customFormat="1" ht="15" x14ac:dyDescent="0.35">
      <c r="C84" s="793" t="s">
        <v>501</v>
      </c>
      <c r="D84" s="790"/>
      <c r="E84" s="793" t="s">
        <v>502</v>
      </c>
      <c r="F84" s="790"/>
    </row>
    <row r="85" spans="1:7" s="67" customFormat="1" ht="15" x14ac:dyDescent="0.35">
      <c r="C85" s="793" t="s">
        <v>503</v>
      </c>
      <c r="D85" s="790"/>
      <c r="E85" s="793" t="s">
        <v>504</v>
      </c>
      <c r="F85" s="790"/>
    </row>
    <row r="86" spans="1:7" s="67" customFormat="1" ht="15" x14ac:dyDescent="0.35">
      <c r="C86" s="793" t="s">
        <v>505</v>
      </c>
      <c r="D86" s="790"/>
      <c r="E86" s="793" t="s">
        <v>506</v>
      </c>
      <c r="F86" s="790"/>
    </row>
    <row r="87" spans="1:7" s="67" customFormat="1" ht="15" x14ac:dyDescent="0.35">
      <c r="C87" s="799" t="s">
        <v>507</v>
      </c>
      <c r="D87" s="791"/>
      <c r="E87" s="795"/>
      <c r="F87" s="791"/>
    </row>
    <row r="88" spans="1:7" x14ac:dyDescent="0.4">
      <c r="C88" s="786"/>
      <c r="D88" s="787"/>
      <c r="E88" s="787"/>
      <c r="F88" s="788"/>
    </row>
    <row r="89" spans="1:7" x14ac:dyDescent="0.4">
      <c r="C89" s="1316" t="s">
        <v>508</v>
      </c>
      <c r="D89" s="1317"/>
      <c r="E89" s="1317"/>
      <c r="F89" s="1318"/>
      <c r="G89" s="332"/>
    </row>
    <row r="90" spans="1:7" ht="14.4" customHeight="1" x14ac:dyDescent="0.4">
      <c r="A90" s="915"/>
      <c r="B90" s="916"/>
      <c r="C90" s="1319"/>
      <c r="D90" s="1320"/>
      <c r="E90" s="1320"/>
      <c r="F90" s="1321"/>
    </row>
    <row r="95" spans="1:7" x14ac:dyDescent="0.4">
      <c r="B95" s="64"/>
    </row>
    <row r="96" spans="1:7" ht="31.5" customHeight="1" x14ac:dyDescent="0.4"/>
  </sheetData>
  <mergeCells count="12">
    <mergeCell ref="C89:F89"/>
    <mergeCell ref="C90:F90"/>
    <mergeCell ref="D5:E5"/>
    <mergeCell ref="C1:F1"/>
    <mergeCell ref="D6:E6"/>
    <mergeCell ref="D14:E14"/>
    <mergeCell ref="D15:E15"/>
    <mergeCell ref="C72:D72"/>
    <mergeCell ref="D16:E16"/>
    <mergeCell ref="D17:E17"/>
    <mergeCell ref="D18:E18"/>
    <mergeCell ref="C3:E3"/>
  </mergeCells>
  <pageMargins left="0.25" right="0.25" top="0.75" bottom="0.75" header="0.3" footer="0.3"/>
  <pageSetup scale="59" orientation="portrait" r:id="rId1"/>
  <headerFooter>
    <oddFooter>&amp;C&amp;1#&amp;"Calibri"&amp;8&amp;KFF8C00This Document is for The National Service Office for Nurse-Family Partnership and Child First. Please do not share outside of The National Service Office or approved parties.Internal</oddFooter>
  </headerFooter>
  <rowBreaks count="1" manualBreakCount="1">
    <brk id="36" max="5" man="1"/>
  </rowBreaks>
  <colBreaks count="1" manualBreakCount="1">
    <brk id="6"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3F616-5F9A-481F-8391-1F6E7C542036}">
  <dimension ref="A1:AP78"/>
  <sheetViews>
    <sheetView zoomScale="80" zoomScaleNormal="80" workbookViewId="0">
      <selection activeCell="F10" sqref="F10"/>
    </sheetView>
  </sheetViews>
  <sheetFormatPr defaultColWidth="9" defaultRowHeight="16.8" x14ac:dyDescent="0.4"/>
  <cols>
    <col min="1" max="1" width="2.3984375" style="18" customWidth="1"/>
    <col min="2" max="2" width="36.69921875" style="18" customWidth="1"/>
    <col min="3" max="3" width="47.59765625" style="18" customWidth="1"/>
    <col min="4" max="4" width="44.59765625" style="18" customWidth="1"/>
    <col min="5" max="5" width="73" style="18" customWidth="1"/>
    <col min="6" max="6" width="93.19921875" style="18" customWidth="1"/>
    <col min="7" max="16384" width="9" style="18"/>
  </cols>
  <sheetData>
    <row r="1" spans="1:42" ht="79.5" customHeight="1" x14ac:dyDescent="0.4">
      <c r="B1" s="911" t="s">
        <v>368</v>
      </c>
      <c r="C1" s="1301" t="s">
        <v>509</v>
      </c>
      <c r="D1" s="1301"/>
      <c r="E1" s="1301"/>
    </row>
    <row r="2" spans="1:42" ht="16.95" customHeight="1" x14ac:dyDescent="0.4">
      <c r="B2" s="1"/>
      <c r="C2" s="331"/>
      <c r="D2" s="198"/>
      <c r="E2" s="199"/>
    </row>
    <row r="3" spans="1:42" s="372" customFormat="1" ht="75" customHeight="1" x14ac:dyDescent="0.4">
      <c r="C3" s="1371" t="s">
        <v>370</v>
      </c>
      <c r="D3" s="1372"/>
      <c r="E3" s="1373"/>
    </row>
    <row r="4" spans="1:42" s="372" customFormat="1" ht="15" customHeight="1" x14ac:dyDescent="0.4">
      <c r="B4" s="224" t="s">
        <v>371</v>
      </c>
      <c r="C4" s="927">
        <v>1</v>
      </c>
      <c r="E4" s="599"/>
      <c r="G4" s="307"/>
      <c r="I4" s="276"/>
      <c r="J4" s="276"/>
      <c r="K4" s="276"/>
      <c r="L4" s="276"/>
    </row>
    <row r="5" spans="1:42" s="372" customFormat="1" ht="15" customHeight="1" x14ac:dyDescent="0.4">
      <c r="B5" s="224" t="s">
        <v>510</v>
      </c>
      <c r="C5" s="927">
        <v>10</v>
      </c>
      <c r="D5" s="665"/>
      <c r="E5" s="619"/>
    </row>
    <row r="6" spans="1:42" s="224" customFormat="1" ht="15" customHeight="1" x14ac:dyDescent="0.4">
      <c r="B6" s="224" t="s">
        <v>511</v>
      </c>
      <c r="C6" s="666">
        <f>(52/36)*C5*D9</f>
        <v>43.333333333333336</v>
      </c>
      <c r="E6" s="367"/>
    </row>
    <row r="7" spans="1:42" s="372" customFormat="1" ht="15" customHeight="1" x14ac:dyDescent="0.4">
      <c r="B7" s="627"/>
      <c r="C7" s="602"/>
      <c r="E7" s="599"/>
    </row>
    <row r="8" spans="1:42" s="372" customFormat="1" ht="15" customHeight="1" x14ac:dyDescent="0.4">
      <c r="B8" s="628"/>
      <c r="C8" s="603" t="s">
        <v>512</v>
      </c>
      <c r="D8" s="1145" t="s">
        <v>380</v>
      </c>
      <c r="E8" s="667"/>
    </row>
    <row r="9" spans="1:42" s="372" customFormat="1" ht="15" customHeight="1" x14ac:dyDescent="0.4">
      <c r="B9" s="668" t="s">
        <v>376</v>
      </c>
      <c r="C9" s="933">
        <v>1</v>
      </c>
      <c r="D9" s="934">
        <v>3</v>
      </c>
      <c r="E9" s="669"/>
      <c r="F9" s="512"/>
    </row>
    <row r="10" spans="1:42" s="372" customFormat="1" ht="15" customHeight="1" x14ac:dyDescent="0.4">
      <c r="B10" s="224" t="s">
        <v>384</v>
      </c>
      <c r="C10" s="930">
        <v>0.5</v>
      </c>
      <c r="D10" s="1009">
        <v>1</v>
      </c>
      <c r="E10" s="513"/>
      <c r="F10" s="512"/>
    </row>
    <row r="11" spans="1:42" s="372" customFormat="1" ht="15" customHeight="1" x14ac:dyDescent="0.4">
      <c r="B11" s="668" t="s">
        <v>383</v>
      </c>
      <c r="C11" s="935">
        <v>50000</v>
      </c>
      <c r="D11" s="929">
        <v>43000</v>
      </c>
      <c r="E11" s="669"/>
      <c r="F11" s="515"/>
    </row>
    <row r="12" spans="1:42" s="372" customFormat="1" ht="15" customHeight="1" x14ac:dyDescent="0.4">
      <c r="B12" s="224" t="s">
        <v>385</v>
      </c>
      <c r="C12" s="1010">
        <v>0.25</v>
      </c>
      <c r="D12" s="1009">
        <v>0.25</v>
      </c>
      <c r="E12" s="510"/>
    </row>
    <row r="13" spans="1:42" s="671" customFormat="1" ht="15" customHeight="1" x14ac:dyDescent="0.4">
      <c r="A13" s="372"/>
      <c r="B13" s="668"/>
      <c r="C13" s="604"/>
      <c r="D13" s="670"/>
      <c r="E13" s="497"/>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row>
    <row r="14" spans="1:42" s="372" customFormat="1" ht="15" customHeight="1" x14ac:dyDescent="0.4">
      <c r="B14" s="224" t="s">
        <v>451</v>
      </c>
      <c r="C14" s="1011">
        <v>0.57499999999999996</v>
      </c>
      <c r="E14" s="672"/>
    </row>
    <row r="15" spans="1:42" s="372" customFormat="1" ht="15" customHeight="1" x14ac:dyDescent="0.4">
      <c r="B15" s="224" t="s">
        <v>513</v>
      </c>
      <c r="C15" s="1012">
        <v>0</v>
      </c>
      <c r="E15" s="672"/>
    </row>
    <row r="16" spans="1:42" s="372" customFormat="1" ht="15" customHeight="1" x14ac:dyDescent="0.4">
      <c r="B16" s="224" t="s">
        <v>388</v>
      </c>
      <c r="C16" s="932">
        <v>1</v>
      </c>
      <c r="E16" s="672"/>
    </row>
    <row r="17" spans="2:6" s="372" customFormat="1" ht="15" customHeight="1" x14ac:dyDescent="0.4">
      <c r="B17" s="224" t="s">
        <v>389</v>
      </c>
      <c r="C17" s="932">
        <v>1</v>
      </c>
      <c r="E17" s="672"/>
    </row>
    <row r="18" spans="2:6" s="372" customFormat="1" ht="15" customHeight="1" x14ac:dyDescent="0.4">
      <c r="B18" s="224" t="s">
        <v>390</v>
      </c>
      <c r="C18" s="932">
        <v>1</v>
      </c>
      <c r="E18" s="672"/>
    </row>
    <row r="19" spans="2:6" ht="30" customHeight="1" thickBot="1" x14ac:dyDescent="0.45">
      <c r="B19" s="1"/>
      <c r="C19" s="31"/>
      <c r="D19" s="4"/>
      <c r="E19" s="498"/>
    </row>
    <row r="20" spans="2:6" ht="31.2" customHeight="1" thickTop="1" x14ac:dyDescent="0.55000000000000004">
      <c r="C20" s="39" t="s">
        <v>459</v>
      </c>
      <c r="D20" s="298"/>
      <c r="E20" s="299"/>
    </row>
    <row r="21" spans="2:6" ht="13.2" customHeight="1" x14ac:dyDescent="0.4">
      <c r="C21" s="118"/>
      <c r="D21" s="289" t="s">
        <v>392</v>
      </c>
      <c r="E21" s="290" t="s">
        <v>334</v>
      </c>
    </row>
    <row r="22" spans="2:6" ht="19.95" customHeight="1" x14ac:dyDescent="0.4">
      <c r="C22" s="480" t="s">
        <v>514</v>
      </c>
      <c r="D22" s="119"/>
      <c r="E22" s="120"/>
    </row>
    <row r="23" spans="2:6" s="372" customFormat="1" ht="15" customHeight="1" x14ac:dyDescent="0.4">
      <c r="C23" s="477" t="s">
        <v>515</v>
      </c>
      <c r="D23" s="482">
        <f>9000*ROUNDUP((D9+C9)/15,0)</f>
        <v>9000</v>
      </c>
      <c r="E23" s="673" t="s">
        <v>516</v>
      </c>
      <c r="F23" s="512"/>
    </row>
    <row r="24" spans="2:6" s="372" customFormat="1" ht="15" customHeight="1" x14ac:dyDescent="0.4">
      <c r="C24" s="478" t="s">
        <v>517</v>
      </c>
      <c r="D24" s="482">
        <f>6000*ROUNDUP((C9+D9)/15,0)</f>
        <v>6000</v>
      </c>
      <c r="E24" s="673" t="s">
        <v>518</v>
      </c>
      <c r="F24" s="512"/>
    </row>
    <row r="25" spans="2:6" s="372" customFormat="1" ht="15" customHeight="1" x14ac:dyDescent="0.4">
      <c r="C25" s="674" t="s">
        <v>519</v>
      </c>
      <c r="D25" s="482">
        <f>6000*ROUNDUP((C9+D9)/15,0)</f>
        <v>6000</v>
      </c>
      <c r="E25" s="673" t="s">
        <v>518</v>
      </c>
      <c r="F25" s="512"/>
    </row>
    <row r="26" spans="2:6" s="372" customFormat="1" ht="15" customHeight="1" x14ac:dyDescent="0.4">
      <c r="C26" s="674" t="s">
        <v>520</v>
      </c>
      <c r="D26" s="482">
        <v>13500</v>
      </c>
      <c r="E26" s="673" t="s">
        <v>521</v>
      </c>
    </row>
    <row r="27" spans="2:6" s="372" customFormat="1" ht="15" customHeight="1" x14ac:dyDescent="0.4">
      <c r="C27" s="477" t="s">
        <v>522</v>
      </c>
      <c r="D27" s="482">
        <f>(25+40)*D9</f>
        <v>195</v>
      </c>
      <c r="E27" s="673"/>
      <c r="F27" s="675"/>
    </row>
    <row r="28" spans="2:6" s="372" customFormat="1" ht="28.95" customHeight="1" x14ac:dyDescent="0.4">
      <c r="C28" s="676" t="s">
        <v>523</v>
      </c>
      <c r="D28" s="1013"/>
      <c r="E28" s="673" t="s">
        <v>524</v>
      </c>
      <c r="F28" s="512"/>
    </row>
    <row r="29" spans="2:6" s="372" customFormat="1" ht="19.95" customHeight="1" x14ac:dyDescent="0.4">
      <c r="C29" s="677" t="s">
        <v>525</v>
      </c>
      <c r="D29" s="494"/>
      <c r="E29" s="678"/>
    </row>
    <row r="30" spans="2:6" s="372" customFormat="1" ht="15" customHeight="1" x14ac:dyDescent="0.4">
      <c r="C30" s="477" t="s">
        <v>526</v>
      </c>
      <c r="D30" s="1013"/>
      <c r="E30" s="673"/>
    </row>
    <row r="31" spans="2:6" s="372" customFormat="1" ht="15" customHeight="1" x14ac:dyDescent="0.4">
      <c r="C31" s="479" t="s">
        <v>527</v>
      </c>
      <c r="D31" s="1014"/>
      <c r="E31" s="487" t="s">
        <v>528</v>
      </c>
    </row>
    <row r="32" spans="2:6" s="372" customFormat="1" ht="15" customHeight="1" x14ac:dyDescent="0.4">
      <c r="C32" s="479" t="s">
        <v>529</v>
      </c>
      <c r="D32" s="1013"/>
      <c r="E32" s="679">
        <v>6750</v>
      </c>
    </row>
    <row r="33" spans="3:6" s="372" customFormat="1" ht="15" customHeight="1" x14ac:dyDescent="0.4">
      <c r="C33" s="479" t="s">
        <v>530</v>
      </c>
      <c r="D33" s="1013"/>
      <c r="E33" s="487" t="s">
        <v>531</v>
      </c>
    </row>
    <row r="34" spans="3:6" s="372" customFormat="1" ht="15" customHeight="1" x14ac:dyDescent="0.4">
      <c r="C34" s="479" t="s">
        <v>532</v>
      </c>
      <c r="D34" s="1013"/>
      <c r="E34" s="487" t="s">
        <v>533</v>
      </c>
    </row>
    <row r="35" spans="3:6" x14ac:dyDescent="0.4">
      <c r="C35" s="481"/>
      <c r="D35" s="10"/>
      <c r="E35" s="45"/>
    </row>
    <row r="36" spans="3:6" x14ac:dyDescent="0.4">
      <c r="C36" s="47" t="s">
        <v>534</v>
      </c>
      <c r="D36" s="12">
        <f>SUM(D23:D35)</f>
        <v>34695</v>
      </c>
      <c r="E36" s="48"/>
    </row>
    <row r="37" spans="3:6" x14ac:dyDescent="0.4">
      <c r="C37" s="121"/>
      <c r="D37" s="9"/>
      <c r="E37" s="27"/>
    </row>
    <row r="38" spans="3:6" ht="19.95" customHeight="1" x14ac:dyDescent="0.4">
      <c r="C38" s="265" t="s">
        <v>410</v>
      </c>
      <c r="D38" s="49"/>
      <c r="E38" s="50"/>
    </row>
    <row r="39" spans="3:6" x14ac:dyDescent="0.4">
      <c r="C39" s="51"/>
      <c r="D39" s="13"/>
      <c r="E39" s="76"/>
      <c r="F39" s="201"/>
    </row>
    <row r="40" spans="3:6" x14ac:dyDescent="0.4">
      <c r="C40" s="32" t="s">
        <v>412</v>
      </c>
      <c r="D40" s="9"/>
      <c r="E40" s="76"/>
      <c r="F40" s="201"/>
    </row>
    <row r="41" spans="3:6" x14ac:dyDescent="0.4">
      <c r="C41" s="291" t="s">
        <v>535</v>
      </c>
      <c r="D41" s="10">
        <f>C9*C11*C10</f>
        <v>25000</v>
      </c>
      <c r="E41" s="76"/>
      <c r="F41" s="201"/>
    </row>
    <row r="42" spans="3:6" x14ac:dyDescent="0.4">
      <c r="C42" s="291" t="s">
        <v>413</v>
      </c>
      <c r="D42" s="10">
        <f>D11*D9*D10</f>
        <v>129000</v>
      </c>
      <c r="E42" s="76"/>
      <c r="F42" s="201"/>
    </row>
    <row r="43" spans="3:6" x14ac:dyDescent="0.4">
      <c r="C43" s="291" t="s">
        <v>415</v>
      </c>
      <c r="D43" s="10">
        <f>(D41*C12)+(D42*D12)</f>
        <v>38500</v>
      </c>
      <c r="E43" s="76"/>
      <c r="F43" s="201"/>
    </row>
    <row r="44" spans="3:6" x14ac:dyDescent="0.4">
      <c r="C44" s="34"/>
      <c r="D44" s="14"/>
      <c r="E44" s="111"/>
      <c r="F44" s="201"/>
    </row>
    <row r="45" spans="3:6" x14ac:dyDescent="0.4">
      <c r="C45" s="32" t="s">
        <v>416</v>
      </c>
      <c r="D45" s="15"/>
      <c r="E45" s="815"/>
      <c r="F45" s="201"/>
    </row>
    <row r="46" spans="3:6" x14ac:dyDescent="0.4">
      <c r="C46" s="291" t="s">
        <v>536</v>
      </c>
      <c r="D46" s="10">
        <f>C15*C14</f>
        <v>0</v>
      </c>
      <c r="E46" s="816"/>
      <c r="F46" s="201"/>
    </row>
    <row r="47" spans="3:6" x14ac:dyDescent="0.4">
      <c r="C47" s="558" t="s">
        <v>421</v>
      </c>
      <c r="D47" s="231">
        <f>C16*C4</f>
        <v>1</v>
      </c>
      <c r="E47" s="817"/>
      <c r="F47" s="814"/>
    </row>
    <row r="48" spans="3:6" x14ac:dyDescent="0.4">
      <c r="C48" s="559" t="s">
        <v>422</v>
      </c>
      <c r="D48" s="231">
        <f>C17*C4</f>
        <v>1</v>
      </c>
      <c r="E48" s="818"/>
      <c r="F48" s="814"/>
    </row>
    <row r="49" spans="3:6" x14ac:dyDescent="0.4">
      <c r="C49" s="560" t="s">
        <v>423</v>
      </c>
      <c r="D49" s="231">
        <f>C18*C4</f>
        <v>1</v>
      </c>
      <c r="E49" s="111"/>
      <c r="F49" s="814"/>
    </row>
    <row r="50" spans="3:6" x14ac:dyDescent="0.4">
      <c r="C50" s="291"/>
      <c r="D50" s="10"/>
      <c r="E50" s="29"/>
    </row>
    <row r="51" spans="3:6" x14ac:dyDescent="0.4">
      <c r="C51" s="561" t="s">
        <v>537</v>
      </c>
      <c r="D51" s="16">
        <f>SUM(D41:D50)</f>
        <v>192503</v>
      </c>
      <c r="E51" s="55"/>
    </row>
    <row r="52" spans="3:6" x14ac:dyDescent="0.4">
      <c r="C52" s="562"/>
      <c r="D52" s="9"/>
      <c r="E52" s="57"/>
    </row>
    <row r="53" spans="3:6" x14ac:dyDescent="0.4">
      <c r="C53" s="563" t="s">
        <v>538</v>
      </c>
      <c r="D53" s="16">
        <f>D36+D51</f>
        <v>227198</v>
      </c>
      <c r="E53" s="55"/>
    </row>
    <row r="54" spans="3:6" x14ac:dyDescent="0.4">
      <c r="C54" s="59"/>
      <c r="D54" s="17"/>
      <c r="E54" s="57"/>
    </row>
    <row r="55" spans="3:6" ht="19.95" customHeight="1" x14ac:dyDescent="0.4">
      <c r="C55" s="265" t="s">
        <v>425</v>
      </c>
      <c r="D55" s="49"/>
      <c r="E55" s="50"/>
    </row>
    <row r="56" spans="3:6" x14ac:dyDescent="0.4">
      <c r="C56" s="32" t="s">
        <v>426</v>
      </c>
      <c r="D56" s="9"/>
      <c r="E56" s="27"/>
    </row>
    <row r="57" spans="3:6" x14ac:dyDescent="0.4">
      <c r="C57" s="291" t="s">
        <v>539</v>
      </c>
      <c r="D57" s="10">
        <f>(D53*0.1)-D49</f>
        <v>22718.800000000003</v>
      </c>
      <c r="E57" s="89" t="s">
        <v>428</v>
      </c>
      <c r="F57" s="495"/>
    </row>
    <row r="58" spans="3:6" x14ac:dyDescent="0.4">
      <c r="C58" s="60"/>
      <c r="D58" s="6"/>
      <c r="E58" s="29"/>
    </row>
    <row r="59" spans="3:6" x14ac:dyDescent="0.4">
      <c r="C59" s="58" t="s">
        <v>429</v>
      </c>
      <c r="D59" s="16">
        <f>D57</f>
        <v>22718.800000000003</v>
      </c>
      <c r="E59" s="55"/>
    </row>
    <row r="60" spans="3:6" x14ac:dyDescent="0.4">
      <c r="C60" s="59"/>
      <c r="D60" s="17"/>
      <c r="E60" s="57"/>
    </row>
    <row r="61" spans="3:6" ht="17.399999999999999" thickBot="1" x14ac:dyDescent="0.45">
      <c r="C61" s="59"/>
      <c r="D61" s="17"/>
      <c r="E61" s="57"/>
    </row>
    <row r="62" spans="3:6" ht="32.4" customHeight="1" thickTop="1" x14ac:dyDescent="0.4">
      <c r="C62" s="564" t="s">
        <v>430</v>
      </c>
      <c r="D62" s="20">
        <f>D53+D59</f>
        <v>249916.79999999999</v>
      </c>
      <c r="E62" s="30"/>
    </row>
    <row r="63" spans="3:6" ht="32.4" customHeight="1" x14ac:dyDescent="0.4">
      <c r="C63" s="565" t="s">
        <v>477</v>
      </c>
      <c r="D63" s="24">
        <f>D62/C6</f>
        <v>5767.3107692307685</v>
      </c>
      <c r="E63" s="62" t="s">
        <v>540</v>
      </c>
    </row>
    <row r="64" spans="3:6" x14ac:dyDescent="0.4">
      <c r="C64" s="118"/>
      <c r="E64" s="122"/>
    </row>
    <row r="65" spans="2:6" ht="31.2" customHeight="1" x14ac:dyDescent="0.4">
      <c r="C65" s="1349" t="s">
        <v>541</v>
      </c>
      <c r="D65" s="1350"/>
      <c r="E65" s="1351"/>
    </row>
    <row r="66" spans="2:6" x14ac:dyDescent="0.4">
      <c r="C66" s="1352" t="s">
        <v>542</v>
      </c>
      <c r="D66" s="1353"/>
      <c r="E66" s="1354"/>
    </row>
    <row r="67" spans="2:6" ht="50.25" customHeight="1" x14ac:dyDescent="0.4">
      <c r="C67" s="1355"/>
      <c r="D67" s="1356"/>
      <c r="E67" s="1357"/>
    </row>
    <row r="68" spans="2:6" x14ac:dyDescent="0.4">
      <c r="B68" s="877"/>
      <c r="C68" s="1369" t="s">
        <v>543</v>
      </c>
      <c r="D68" s="1369"/>
      <c r="E68" s="1369"/>
      <c r="F68" s="875"/>
    </row>
    <row r="69" spans="2:6" x14ac:dyDescent="0.4">
      <c r="B69" s="877"/>
      <c r="C69" s="1370" t="s">
        <v>544</v>
      </c>
      <c r="D69" s="1370"/>
      <c r="E69" s="1370"/>
      <c r="F69" s="875"/>
    </row>
    <row r="70" spans="2:6" ht="25.5" customHeight="1" x14ac:dyDescent="0.4">
      <c r="C70" s="1358" t="s">
        <v>439</v>
      </c>
      <c r="D70" s="1359"/>
      <c r="E70" s="1359"/>
      <c r="F70" s="876"/>
    </row>
    <row r="71" spans="2:6" ht="15" customHeight="1" x14ac:dyDescent="0.4">
      <c r="B71"/>
      <c r="C71" s="1360" t="s">
        <v>440</v>
      </c>
      <c r="D71" s="1361"/>
      <c r="E71" s="1362"/>
      <c r="F71" s="467"/>
    </row>
    <row r="72" spans="2:6" x14ac:dyDescent="0.4">
      <c r="C72" s="1363"/>
      <c r="D72" s="1364"/>
      <c r="E72" s="1365"/>
      <c r="F72" s="467"/>
    </row>
    <row r="73" spans="2:6" ht="21.75" customHeight="1" x14ac:dyDescent="0.4">
      <c r="C73" s="1366"/>
      <c r="D73" s="1367"/>
      <c r="E73" s="1368"/>
      <c r="F73" s="467"/>
    </row>
    <row r="74" spans="2:6" x14ac:dyDescent="0.4">
      <c r="C74" s="1340" t="s">
        <v>545</v>
      </c>
      <c r="D74" s="1341"/>
      <c r="E74" s="1342"/>
      <c r="F74" s="466"/>
    </row>
    <row r="75" spans="2:6" x14ac:dyDescent="0.4">
      <c r="C75" s="1343" t="s">
        <v>546</v>
      </c>
      <c r="D75" s="1344"/>
      <c r="E75" s="1345"/>
      <c r="F75" s="464"/>
    </row>
    <row r="76" spans="2:6" x14ac:dyDescent="0.4">
      <c r="C76" s="1343" t="s">
        <v>547</v>
      </c>
      <c r="D76" s="1344"/>
      <c r="E76" s="1345"/>
      <c r="F76" s="464"/>
    </row>
    <row r="77" spans="2:6" x14ac:dyDescent="0.4">
      <c r="C77" s="1150" t="s">
        <v>548</v>
      </c>
      <c r="D77" s="465"/>
      <c r="E77" s="281"/>
      <c r="F77" s="464"/>
    </row>
    <row r="78" spans="2:6" ht="24.75" customHeight="1" x14ac:dyDescent="0.45">
      <c r="B78" s="353"/>
      <c r="C78" s="1346" t="s">
        <v>549</v>
      </c>
      <c r="D78" s="1347"/>
      <c r="E78" s="1348"/>
      <c r="F78" s="282"/>
    </row>
  </sheetData>
  <mergeCells count="12">
    <mergeCell ref="C74:E74"/>
    <mergeCell ref="C75:E75"/>
    <mergeCell ref="C76:E76"/>
    <mergeCell ref="C78:E78"/>
    <mergeCell ref="C1:E1"/>
    <mergeCell ref="C65:E65"/>
    <mergeCell ref="C66:E67"/>
    <mergeCell ref="C70:E70"/>
    <mergeCell ref="C71:E73"/>
    <mergeCell ref="C68:E68"/>
    <mergeCell ref="C69:E69"/>
    <mergeCell ref="C3:E3"/>
  </mergeCells>
  <hyperlinks>
    <hyperlink ref="C78:E78" r:id="rId1" display="Click here for more on WSIPP's CPP Benefit-Cost Analysis" xr:uid="{0F15A282-577F-44D9-A936-848D28F9206B}"/>
    <hyperlink ref="C69:E69" r:id="rId2" location="gid=20326320" display="Child Parent Psychotherapy Budget Worksheet" xr:uid="{7AA1F3BE-6EE9-4008-9DE7-0A0D0E7A874E}"/>
  </hyperlinks>
  <pageMargins left="0.7" right="0.7" top="0.75" bottom="0.75" header="0.3" footer="0.3"/>
  <pageSetup scale="44" orientation="portrait" r:id="rId3"/>
  <drawing r:id="rId4"/>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80"/>
  <sheetViews>
    <sheetView zoomScaleNormal="100" workbookViewId="0">
      <selection activeCell="B62" sqref="B62"/>
    </sheetView>
  </sheetViews>
  <sheetFormatPr defaultColWidth="9" defaultRowHeight="16.8" x14ac:dyDescent="0.4"/>
  <cols>
    <col min="1" max="1" width="2.3984375" style="18" customWidth="1"/>
    <col min="2" max="2" width="42.59765625" style="18" customWidth="1"/>
    <col min="3" max="3" width="60.59765625" style="18" customWidth="1"/>
    <col min="4" max="4" width="30.59765625" style="18" customWidth="1"/>
    <col min="5" max="5" width="35.8984375" style="18" customWidth="1"/>
    <col min="6" max="6" width="43.19921875" style="18" customWidth="1"/>
    <col min="7" max="16384" width="9" style="18"/>
  </cols>
  <sheetData>
    <row r="1" spans="2:6" ht="79.5" customHeight="1" x14ac:dyDescent="0.4">
      <c r="B1" s="911" t="s">
        <v>368</v>
      </c>
      <c r="C1" s="1301" t="s">
        <v>550</v>
      </c>
      <c r="D1" s="1301"/>
      <c r="E1" s="1301"/>
    </row>
    <row r="2" spans="2:6" ht="18" customHeight="1" x14ac:dyDescent="0.4">
      <c r="B2" s="1"/>
      <c r="C2" s="331"/>
      <c r="D2" s="198"/>
      <c r="E2" s="199"/>
    </row>
    <row r="3" spans="2:6" ht="39.6" customHeight="1" x14ac:dyDescent="0.4">
      <c r="C3" s="1314" t="s">
        <v>370</v>
      </c>
      <c r="D3" s="1315"/>
      <c r="E3" s="122"/>
    </row>
    <row r="4" spans="2:6" x14ac:dyDescent="0.4">
      <c r="C4" s="118"/>
      <c r="E4" s="122"/>
    </row>
    <row r="5" spans="2:6" s="372" customFormat="1" x14ac:dyDescent="0.4">
      <c r="B5" s="224" t="s">
        <v>551</v>
      </c>
      <c r="C5" s="1005">
        <v>2</v>
      </c>
      <c r="E5" s="599"/>
    </row>
    <row r="6" spans="2:6" s="372" customFormat="1" x14ac:dyDescent="0.4">
      <c r="B6" s="224" t="s">
        <v>449</v>
      </c>
      <c r="C6" s="1005">
        <v>150</v>
      </c>
      <c r="E6" s="672"/>
    </row>
    <row r="7" spans="2:6" s="372" customFormat="1" x14ac:dyDescent="0.4">
      <c r="B7" s="627"/>
      <c r="C7" s="602"/>
      <c r="E7" s="599"/>
    </row>
    <row r="8" spans="2:6" s="372" customFormat="1" x14ac:dyDescent="0.4">
      <c r="B8" s="628"/>
      <c r="C8" s="603" t="s">
        <v>379</v>
      </c>
      <c r="D8" s="1145" t="s">
        <v>380</v>
      </c>
      <c r="E8" s="667" t="s">
        <v>416</v>
      </c>
    </row>
    <row r="9" spans="2:6" s="372" customFormat="1" x14ac:dyDescent="0.4">
      <c r="B9" s="224" t="s">
        <v>552</v>
      </c>
      <c r="C9" s="953">
        <v>1</v>
      </c>
      <c r="D9" s="953">
        <v>5</v>
      </c>
      <c r="E9" s="1006"/>
    </row>
    <row r="10" spans="2:6" s="372" customFormat="1" x14ac:dyDescent="0.4">
      <c r="B10" s="224" t="s">
        <v>383</v>
      </c>
      <c r="C10" s="1007">
        <v>50000</v>
      </c>
      <c r="D10" s="1007">
        <v>43000</v>
      </c>
      <c r="E10" s="1007" t="s">
        <v>553</v>
      </c>
    </row>
    <row r="11" spans="2:6" s="372" customFormat="1" x14ac:dyDescent="0.4">
      <c r="B11" s="224" t="s">
        <v>384</v>
      </c>
      <c r="C11" s="1008">
        <v>0.05</v>
      </c>
      <c r="D11" s="1008">
        <v>0.1</v>
      </c>
      <c r="E11" s="1007" t="s">
        <v>553</v>
      </c>
      <c r="F11" s="512"/>
    </row>
    <row r="12" spans="2:6" s="372" customFormat="1" x14ac:dyDescent="0.4">
      <c r="B12" s="224" t="s">
        <v>385</v>
      </c>
      <c r="C12" s="930">
        <v>0.25</v>
      </c>
      <c r="D12" s="930">
        <v>0.25</v>
      </c>
      <c r="E12" s="1007" t="s">
        <v>553</v>
      </c>
    </row>
    <row r="13" spans="2:6" s="372" customFormat="1" x14ac:dyDescent="0.4">
      <c r="B13" s="224"/>
      <c r="C13" s="697"/>
      <c r="D13" s="698"/>
      <c r="E13" s="699"/>
    </row>
    <row r="14" spans="2:6" s="372" customFormat="1" x14ac:dyDescent="0.4">
      <c r="B14" s="224" t="s">
        <v>554</v>
      </c>
      <c r="C14" s="700">
        <f>(C9+D9+E9)</f>
        <v>6</v>
      </c>
      <c r="E14" s="672"/>
    </row>
    <row r="15" spans="2:6" s="372" customFormat="1" x14ac:dyDescent="0.4">
      <c r="B15" s="224"/>
      <c r="C15" s="701"/>
      <c r="E15" s="672"/>
    </row>
    <row r="16" spans="2:6" s="372" customFormat="1" x14ac:dyDescent="0.4">
      <c r="B16" s="224" t="s">
        <v>451</v>
      </c>
      <c r="C16" s="953">
        <v>0.57499999999999996</v>
      </c>
      <c r="E16" s="672"/>
    </row>
    <row r="17" spans="2:6" s="372" customFormat="1" x14ac:dyDescent="0.4">
      <c r="B17" s="224" t="s">
        <v>513</v>
      </c>
      <c r="C17" s="953">
        <v>10</v>
      </c>
      <c r="E17" s="672"/>
    </row>
    <row r="18" spans="2:6" s="372" customFormat="1" x14ac:dyDescent="0.4">
      <c r="B18" s="224" t="s">
        <v>388</v>
      </c>
      <c r="C18" s="932">
        <v>1</v>
      </c>
      <c r="E18" s="672"/>
    </row>
    <row r="19" spans="2:6" s="372" customFormat="1" x14ac:dyDescent="0.4">
      <c r="B19" s="224" t="s">
        <v>389</v>
      </c>
      <c r="C19" s="932">
        <v>1</v>
      </c>
      <c r="E19" s="672"/>
    </row>
    <row r="20" spans="2:6" s="372" customFormat="1" x14ac:dyDescent="0.4">
      <c r="B20" s="224" t="s">
        <v>390</v>
      </c>
      <c r="C20" s="932">
        <v>1</v>
      </c>
      <c r="E20" s="672"/>
    </row>
    <row r="21" spans="2:6" x14ac:dyDescent="0.4">
      <c r="B21" s="7"/>
      <c r="C21" s="314"/>
      <c r="E21" s="25"/>
    </row>
    <row r="22" spans="2:6" x14ac:dyDescent="0.4">
      <c r="B22" s="7"/>
      <c r="C22" s="514"/>
      <c r="E22" s="25"/>
    </row>
    <row r="23" spans="2:6" ht="51" customHeight="1" thickBot="1" x14ac:dyDescent="0.45">
      <c r="B23" s="1"/>
      <c r="C23" s="1374" t="s">
        <v>555</v>
      </c>
      <c r="D23" s="1374"/>
      <c r="E23" s="1375"/>
      <c r="F23" s="376"/>
    </row>
    <row r="24" spans="2:6" ht="31.2" customHeight="1" thickTop="1" x14ac:dyDescent="0.55000000000000004">
      <c r="C24" s="116" t="s">
        <v>459</v>
      </c>
      <c r="D24" s="115"/>
      <c r="E24" s="117"/>
    </row>
    <row r="25" spans="2:6" ht="13.2" customHeight="1" x14ac:dyDescent="0.4">
      <c r="C25" s="118"/>
      <c r="D25" s="289" t="s">
        <v>392</v>
      </c>
      <c r="E25" s="290" t="s">
        <v>334</v>
      </c>
    </row>
    <row r="26" spans="2:6" s="372" customFormat="1" ht="19.95" customHeight="1" x14ac:dyDescent="0.4">
      <c r="C26" s="265" t="s">
        <v>514</v>
      </c>
      <c r="D26" s="494"/>
      <c r="E26" s="678"/>
    </row>
    <row r="27" spans="2:6" ht="14.4" customHeight="1" x14ac:dyDescent="0.4">
      <c r="C27" s="291" t="s">
        <v>556</v>
      </c>
      <c r="D27" s="398">
        <f>IF((C9+D9)&lt;8,6000,IF(INT((C9+D9)/8)=(C9+D9)/8=TRUE,ROUNDUP((C9+D9)/8,0)*6000,IF(INT((C9+D9)/9)=(C9+D9)/9=TRUE,ROUNDUP((C9+D9)/9,0)*6000+100,IF(INT((C9+D9)/10)=(C9+D9)/10=TRUE,ROUNDUP((C9+D9)/10,0)*6000+200,ROUNDUP((C9+D9)/8,0)*6000))))</f>
        <v>6000</v>
      </c>
      <c r="E27" s="89" t="s">
        <v>557</v>
      </c>
      <c r="F27" s="94"/>
    </row>
    <row r="28" spans="2:6" ht="14.4" customHeight="1" x14ac:dyDescent="0.4">
      <c r="C28" s="292" t="s">
        <v>558</v>
      </c>
      <c r="D28" s="398">
        <f>IF((C9+D9)&lt;4,3000,IF(INT((C9+D9)/4)=(C9+D9)/4=TRUE,ROUNDUP((C9+D9)/4,0)*3000,IF(INT((C9+D9)/5)=(C9+D9)/5=TRUE,ROUNDUP((C9+D9)/5,0)*3000+100,ROUNDUP((C9+D9)/4,0)*3000)))</f>
        <v>6000</v>
      </c>
      <c r="E28" s="89" t="s">
        <v>559</v>
      </c>
      <c r="F28" s="94"/>
    </row>
    <row r="29" spans="2:6" ht="14.4" customHeight="1" x14ac:dyDescent="0.4">
      <c r="C29" s="293" t="s">
        <v>560</v>
      </c>
      <c r="D29" s="398">
        <f>2800*ROUNDUP((D9+C9)/8,0)</f>
        <v>2800</v>
      </c>
      <c r="E29" s="88" t="s">
        <v>561</v>
      </c>
    </row>
    <row r="30" spans="2:6" ht="19.95" customHeight="1" x14ac:dyDescent="0.4">
      <c r="C30" s="265" t="s">
        <v>525</v>
      </c>
      <c r="D30" s="119"/>
      <c r="E30" s="503"/>
    </row>
    <row r="31" spans="2:6" ht="14.4" customHeight="1" x14ac:dyDescent="0.4">
      <c r="C31" s="292" t="s">
        <v>562</v>
      </c>
      <c r="D31" s="1027" t="s">
        <v>563</v>
      </c>
      <c r="E31" s="415" t="s">
        <v>564</v>
      </c>
    </row>
    <row r="32" spans="2:6" ht="14.4" customHeight="1" x14ac:dyDescent="0.4">
      <c r="C32" s="292" t="s">
        <v>565</v>
      </c>
      <c r="D32" s="92">
        <f>300*D31</f>
        <v>1200</v>
      </c>
      <c r="E32" s="327"/>
    </row>
    <row r="33" spans="3:10" ht="14.4" customHeight="1" x14ac:dyDescent="0.4">
      <c r="C33" s="101" t="s">
        <v>566</v>
      </c>
      <c r="D33" s="398">
        <f>1500*C14</f>
        <v>9000</v>
      </c>
      <c r="E33" s="88"/>
      <c r="F33" s="19"/>
    </row>
    <row r="34" spans="3:10" ht="14.4" customHeight="1" x14ac:dyDescent="0.4">
      <c r="C34" s="101" t="s">
        <v>567</v>
      </c>
      <c r="D34" s="398">
        <f>1200*(C14/2)</f>
        <v>3600</v>
      </c>
      <c r="E34" s="88"/>
      <c r="F34" s="19"/>
    </row>
    <row r="35" spans="3:10" ht="14.4" customHeight="1" x14ac:dyDescent="0.4">
      <c r="C35" s="292" t="s">
        <v>568</v>
      </c>
      <c r="D35" s="398">
        <f>3600*C5</f>
        <v>7200</v>
      </c>
      <c r="E35" s="327"/>
      <c r="G35"/>
      <c r="J35"/>
    </row>
    <row r="36" spans="3:10" ht="14.4" customHeight="1" x14ac:dyDescent="0.4">
      <c r="C36" s="292" t="s">
        <v>569</v>
      </c>
      <c r="D36" s="399">
        <f>1200*C14</f>
        <v>7200</v>
      </c>
      <c r="E36" s="88"/>
    </row>
    <row r="37" spans="3:10" x14ac:dyDescent="0.4">
      <c r="C37" s="47" t="s">
        <v>409</v>
      </c>
      <c r="D37" s="12">
        <f>SUM(D27:D36)</f>
        <v>43000</v>
      </c>
      <c r="E37" s="48"/>
    </row>
    <row r="38" spans="3:10" x14ac:dyDescent="0.4">
      <c r="C38" s="121"/>
      <c r="D38" s="9"/>
      <c r="E38" s="27"/>
    </row>
    <row r="39" spans="3:10" ht="19.95" customHeight="1" x14ac:dyDescent="0.4">
      <c r="C39" s="265" t="s">
        <v>410</v>
      </c>
      <c r="D39" s="49"/>
      <c r="E39" s="50"/>
    </row>
    <row r="40" spans="3:10" x14ac:dyDescent="0.4">
      <c r="C40" s="51"/>
      <c r="D40" s="13"/>
      <c r="E40" s="26"/>
    </row>
    <row r="41" spans="3:10" x14ac:dyDescent="0.4">
      <c r="C41" s="32" t="s">
        <v>412</v>
      </c>
      <c r="D41" s="9"/>
      <c r="E41" s="26"/>
    </row>
    <row r="42" spans="3:10" x14ac:dyDescent="0.4">
      <c r="C42" s="33" t="s">
        <v>570</v>
      </c>
      <c r="D42" s="10">
        <f>C10*C9*C11</f>
        <v>2500</v>
      </c>
      <c r="E42" s="26"/>
    </row>
    <row r="43" spans="3:10" x14ac:dyDescent="0.4">
      <c r="C43" s="33" t="s">
        <v>571</v>
      </c>
      <c r="D43" s="10">
        <f>D10*D9*D11</f>
        <v>21500</v>
      </c>
      <c r="E43" s="26"/>
    </row>
    <row r="44" spans="3:10" x14ac:dyDescent="0.4">
      <c r="C44" s="33" t="s">
        <v>572</v>
      </c>
      <c r="D44" s="10">
        <v>0</v>
      </c>
      <c r="E44" s="27"/>
    </row>
    <row r="45" spans="3:10" x14ac:dyDescent="0.4">
      <c r="C45" s="33" t="s">
        <v>415</v>
      </c>
      <c r="D45" s="114">
        <f>(D43*C12)+(D42*D12)</f>
        <v>6000</v>
      </c>
      <c r="E45" s="29"/>
    </row>
    <row r="46" spans="3:10" x14ac:dyDescent="0.4">
      <c r="C46" s="34"/>
      <c r="D46" s="14"/>
      <c r="E46" s="27"/>
    </row>
    <row r="47" spans="3:10" x14ac:dyDescent="0.4">
      <c r="C47" s="32" t="s">
        <v>416</v>
      </c>
      <c r="D47" s="15"/>
      <c r="E47" s="28"/>
    </row>
    <row r="48" spans="3:10" x14ac:dyDescent="0.4">
      <c r="C48" s="33" t="s">
        <v>536</v>
      </c>
      <c r="D48" s="10">
        <f>(C17*C16)*C14*12</f>
        <v>414</v>
      </c>
      <c r="E48" s="29"/>
    </row>
    <row r="49" spans="3:6" x14ac:dyDescent="0.4">
      <c r="C49" s="52" t="s">
        <v>421</v>
      </c>
      <c r="D49" s="10">
        <f>C18*C5</f>
        <v>2</v>
      </c>
      <c r="E49" s="29"/>
    </row>
    <row r="50" spans="3:6" x14ac:dyDescent="0.4">
      <c r="C50" s="33" t="s">
        <v>422</v>
      </c>
      <c r="D50" s="10">
        <f>C19*C5</f>
        <v>2</v>
      </c>
      <c r="E50" s="29"/>
    </row>
    <row r="51" spans="3:6" x14ac:dyDescent="0.4">
      <c r="C51" s="93" t="s">
        <v>423</v>
      </c>
      <c r="D51" s="10">
        <f>C20*C5</f>
        <v>2</v>
      </c>
      <c r="E51" s="29"/>
    </row>
    <row r="52" spans="3:6" x14ac:dyDescent="0.4">
      <c r="C52" s="166"/>
      <c r="D52" s="113"/>
      <c r="E52" s="28"/>
    </row>
    <row r="53" spans="3:6" x14ac:dyDescent="0.4">
      <c r="C53" s="54" t="s">
        <v>409</v>
      </c>
      <c r="D53" s="16">
        <f>SUM(D42:D52)</f>
        <v>30420</v>
      </c>
      <c r="E53" s="55"/>
    </row>
    <row r="54" spans="3:6" x14ac:dyDescent="0.4">
      <c r="C54" s="56"/>
      <c r="D54" s="9"/>
      <c r="E54" s="57"/>
    </row>
    <row r="55" spans="3:6" x14ac:dyDescent="0.4">
      <c r="C55" s="58" t="s">
        <v>424</v>
      </c>
      <c r="D55" s="16">
        <f>D37+D53</f>
        <v>73420</v>
      </c>
      <c r="E55" s="55"/>
    </row>
    <row r="56" spans="3:6" x14ac:dyDescent="0.4">
      <c r="C56" s="59"/>
      <c r="D56" s="17"/>
      <c r="E56" s="57"/>
    </row>
    <row r="57" spans="3:6" ht="19.95" customHeight="1" x14ac:dyDescent="0.4">
      <c r="C57" s="265" t="s">
        <v>425</v>
      </c>
      <c r="D57" s="49"/>
      <c r="E57" s="50"/>
    </row>
    <row r="58" spans="3:6" x14ac:dyDescent="0.4">
      <c r="C58" s="32" t="s">
        <v>426</v>
      </c>
      <c r="D58" s="9"/>
      <c r="E58" s="27"/>
    </row>
    <row r="59" spans="3:6" ht="26.4" x14ac:dyDescent="0.4">
      <c r="C59" s="291" t="s">
        <v>427</v>
      </c>
      <c r="D59" s="557">
        <f>(D55*0.1)-D51</f>
        <v>7340</v>
      </c>
      <c r="E59" s="597" t="s">
        <v>428</v>
      </c>
      <c r="F59" s="91"/>
    </row>
    <row r="60" spans="3:6" x14ac:dyDescent="0.4">
      <c r="C60" s="60"/>
      <c r="D60" s="6"/>
      <c r="E60" s="29"/>
    </row>
    <row r="61" spans="3:6" x14ac:dyDescent="0.4">
      <c r="C61" s="58" t="s">
        <v>429</v>
      </c>
      <c r="D61" s="16">
        <f>D59</f>
        <v>7340</v>
      </c>
      <c r="E61" s="55"/>
    </row>
    <row r="62" spans="3:6" x14ac:dyDescent="0.4">
      <c r="C62" s="59"/>
      <c r="D62" s="17"/>
      <c r="E62" s="57"/>
    </row>
    <row r="63" spans="3:6" ht="17.399999999999999" thickBot="1" x14ac:dyDescent="0.45">
      <c r="C63" s="59"/>
      <c r="D63" s="17"/>
      <c r="E63" s="57"/>
    </row>
    <row r="64" spans="3:6" ht="32.4" customHeight="1" thickTop="1" x14ac:dyDescent="0.4">
      <c r="C64" s="777" t="s">
        <v>430</v>
      </c>
      <c r="D64" s="20">
        <f>D55+D61</f>
        <v>80760</v>
      </c>
      <c r="E64" s="30"/>
    </row>
    <row r="65" spans="2:5" ht="32.4" customHeight="1" x14ac:dyDescent="0.4">
      <c r="C65" s="775" t="s">
        <v>477</v>
      </c>
      <c r="D65" s="24">
        <f>D64/C6</f>
        <v>538.4</v>
      </c>
      <c r="E65" s="62"/>
    </row>
    <row r="66" spans="2:5" x14ac:dyDescent="0.4">
      <c r="C66" s="118"/>
      <c r="E66" s="122"/>
    </row>
    <row r="67" spans="2:5" x14ac:dyDescent="0.4">
      <c r="C67" s="118"/>
      <c r="E67" s="122"/>
    </row>
    <row r="68" spans="2:5" x14ac:dyDescent="0.4">
      <c r="C68" s="354" t="s">
        <v>432</v>
      </c>
      <c r="E68" s="122"/>
    </row>
    <row r="69" spans="2:5" ht="19.2" customHeight="1" x14ac:dyDescent="0.4">
      <c r="C69" s="371" t="s">
        <v>573</v>
      </c>
      <c r="E69" s="122"/>
    </row>
    <row r="70" spans="2:5" s="372" customFormat="1" ht="25.2" customHeight="1" x14ac:dyDescent="0.4">
      <c r="C70" s="1349" t="s">
        <v>574</v>
      </c>
      <c r="D70" s="1376"/>
      <c r="E70" s="1377"/>
    </row>
    <row r="71" spans="2:5" x14ac:dyDescent="0.4">
      <c r="C71" s="375"/>
      <c r="D71" s="373"/>
      <c r="E71" s="374"/>
    </row>
    <row r="72" spans="2:5" x14ac:dyDescent="0.4">
      <c r="B72"/>
      <c r="C72" s="1358" t="s">
        <v>439</v>
      </c>
      <c r="D72" s="1359"/>
      <c r="E72" s="1378"/>
    </row>
    <row r="73" spans="2:5" x14ac:dyDescent="0.4">
      <c r="C73" s="1360" t="s">
        <v>440</v>
      </c>
      <c r="D73" s="1361"/>
      <c r="E73" s="1362"/>
    </row>
    <row r="74" spans="2:5" x14ac:dyDescent="0.4">
      <c r="C74" s="1363"/>
      <c r="D74" s="1364"/>
      <c r="E74" s="1365"/>
    </row>
    <row r="75" spans="2:5" x14ac:dyDescent="0.4">
      <c r="C75" s="1366"/>
      <c r="D75" s="1367"/>
      <c r="E75" s="1368"/>
    </row>
    <row r="76" spans="2:5" x14ac:dyDescent="0.4">
      <c r="C76" s="1340" t="s">
        <v>575</v>
      </c>
      <c r="D76" s="1341"/>
      <c r="E76" s="1342"/>
    </row>
    <row r="77" spans="2:5" x14ac:dyDescent="0.4">
      <c r="C77" s="1343" t="s">
        <v>576</v>
      </c>
      <c r="D77" s="1344"/>
      <c r="E77" s="1345"/>
    </row>
    <row r="78" spans="2:5" x14ac:dyDescent="0.4">
      <c r="C78" s="1343" t="s">
        <v>577</v>
      </c>
      <c r="D78" s="1344"/>
      <c r="E78" s="1345"/>
    </row>
    <row r="79" spans="2:5" ht="20.25" customHeight="1" x14ac:dyDescent="0.4">
      <c r="C79" s="1150" t="s">
        <v>578</v>
      </c>
      <c r="D79" s="1151"/>
      <c r="E79" s="281"/>
    </row>
    <row r="80" spans="2:5" s="279" customFormat="1" ht="20.399999999999999" x14ac:dyDescent="0.45">
      <c r="B80" s="455"/>
      <c r="C80" s="1346" t="s">
        <v>579</v>
      </c>
      <c r="D80" s="1347"/>
      <c r="E80" s="1348"/>
    </row>
  </sheetData>
  <mergeCells count="10">
    <mergeCell ref="C77:E77"/>
    <mergeCell ref="C78:E78"/>
    <mergeCell ref="C80:E80"/>
    <mergeCell ref="C23:E23"/>
    <mergeCell ref="C1:E1"/>
    <mergeCell ref="C70:E70"/>
    <mergeCell ref="C72:E72"/>
    <mergeCell ref="C73:E75"/>
    <mergeCell ref="C76:E76"/>
    <mergeCell ref="C3:D3"/>
  </mergeCells>
  <hyperlinks>
    <hyperlink ref="C80:E80" r:id="rId1" display="Click here for more on WSIPP's FCU Benefit-Cost Analysis" xr:uid="{45714298-34B1-4338-B091-5EF9F5CB261C}"/>
    <hyperlink ref="C69" r:id="rId2" xr:uid="{BFA63878-CCEF-4A94-8A3C-69445DD6E533}"/>
  </hyperlinks>
  <pageMargins left="0.7" right="0.7" top="0.75" bottom="0.75" header="0.3" footer="0.3"/>
  <pageSetup scale="52" orientation="portrait" r:id="rId3"/>
  <rowBreaks count="1" manualBreakCount="1">
    <brk id="56" max="4" man="1"/>
  </rowBreaks>
  <drawing r:id="rId4"/>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N89"/>
  <sheetViews>
    <sheetView topLeftCell="A76" zoomScaleNormal="100" workbookViewId="0">
      <selection activeCell="C89" sqref="C89:F89"/>
    </sheetView>
  </sheetViews>
  <sheetFormatPr defaultColWidth="9" defaultRowHeight="16.8" x14ac:dyDescent="0.4"/>
  <cols>
    <col min="1" max="1" width="2.3984375" style="18" customWidth="1"/>
    <col min="2" max="2" width="36.5" style="18" customWidth="1"/>
    <col min="3" max="3" width="41.59765625" style="18" customWidth="1"/>
    <col min="4" max="5" width="38.8984375" style="18" customWidth="1"/>
    <col min="6" max="6" width="41.3984375" style="18" customWidth="1"/>
    <col min="7" max="7" width="116.59765625" style="18" customWidth="1"/>
    <col min="8" max="16384" width="9" style="18"/>
  </cols>
  <sheetData>
    <row r="1" spans="2:14" ht="80.25" customHeight="1" x14ac:dyDescent="0.4">
      <c r="B1" s="911" t="s">
        <v>368</v>
      </c>
      <c r="C1" s="1301" t="s">
        <v>580</v>
      </c>
      <c r="D1" s="1386"/>
      <c r="E1" s="1386"/>
      <c r="F1" s="1387"/>
    </row>
    <row r="2" spans="2:14" ht="16.95" customHeight="1" x14ac:dyDescent="0.4">
      <c r="B2" s="1"/>
      <c r="C2" s="331"/>
      <c r="D2" s="198"/>
      <c r="E2" s="198"/>
      <c r="F2" s="199"/>
    </row>
    <row r="3" spans="2:14" ht="66" customHeight="1" x14ac:dyDescent="0.4">
      <c r="C3" s="1314" t="s">
        <v>370</v>
      </c>
      <c r="D3" s="1315"/>
      <c r="E3" s="1315"/>
      <c r="F3" s="122"/>
    </row>
    <row r="4" spans="2:14" x14ac:dyDescent="0.4">
      <c r="B4" s="7" t="s">
        <v>371</v>
      </c>
      <c r="C4" s="995">
        <v>1</v>
      </c>
      <c r="F4" s="38"/>
    </row>
    <row r="5" spans="2:14" ht="14.4" customHeight="1" x14ac:dyDescent="0.4">
      <c r="B5" s="7" t="s">
        <v>447</v>
      </c>
      <c r="C5" s="995">
        <v>1</v>
      </c>
      <c r="D5" s="1388"/>
      <c r="E5" s="1140"/>
      <c r="F5" s="254"/>
      <c r="G5" s="1379"/>
    </row>
    <row r="6" spans="2:14" ht="14.4" customHeight="1" x14ac:dyDescent="0.4">
      <c r="B6" s="7" t="s">
        <v>581</v>
      </c>
      <c r="C6" s="472">
        <v>20</v>
      </c>
      <c r="D6" s="1388"/>
      <c r="E6" s="1140"/>
      <c r="F6" s="254"/>
      <c r="G6" s="1379"/>
    </row>
    <row r="7" spans="2:14" x14ac:dyDescent="0.4">
      <c r="B7" s="7" t="s">
        <v>582</v>
      </c>
      <c r="C7" s="874">
        <f>D11*C6</f>
        <v>120</v>
      </c>
      <c r="F7" s="25"/>
    </row>
    <row r="8" spans="2:14" x14ac:dyDescent="0.4">
      <c r="B8" s="2"/>
      <c r="F8" s="122"/>
    </row>
    <row r="9" spans="2:14" x14ac:dyDescent="0.4">
      <c r="B9" s="3"/>
      <c r="C9" s="610" t="s">
        <v>512</v>
      </c>
      <c r="D9" s="610" t="s">
        <v>583</v>
      </c>
      <c r="E9" s="610"/>
      <c r="F9" s="550"/>
    </row>
    <row r="10" spans="2:14" ht="13.95" customHeight="1" x14ac:dyDescent="0.4">
      <c r="B10" s="8" t="s">
        <v>584</v>
      </c>
      <c r="C10" s="822">
        <v>1</v>
      </c>
      <c r="D10" s="996">
        <v>6</v>
      </c>
      <c r="E10" s="554"/>
      <c r="F10" s="551"/>
    </row>
    <row r="11" spans="2:14" ht="14.4" customHeight="1" x14ac:dyDescent="0.4">
      <c r="B11" s="7" t="s">
        <v>382</v>
      </c>
      <c r="C11" s="808">
        <f>C10*$C$5</f>
        <v>1</v>
      </c>
      <c r="D11" s="595">
        <f>D10*C5</f>
        <v>6</v>
      </c>
      <c r="E11" s="555"/>
      <c r="F11" s="552"/>
      <c r="I11" s="462"/>
      <c r="J11" s="462"/>
      <c r="K11" s="462"/>
      <c r="L11" s="462"/>
      <c r="M11" s="462"/>
      <c r="N11" s="462"/>
    </row>
    <row r="12" spans="2:14" ht="14.4" customHeight="1" x14ac:dyDescent="0.4">
      <c r="B12" s="7" t="s">
        <v>383</v>
      </c>
      <c r="C12" s="997">
        <v>40000</v>
      </c>
      <c r="D12" s="928">
        <v>35000</v>
      </c>
      <c r="E12" s="549"/>
      <c r="F12" s="553"/>
      <c r="I12" s="462"/>
      <c r="J12" s="462"/>
      <c r="K12" s="462"/>
      <c r="L12" s="462"/>
      <c r="M12" s="462"/>
      <c r="N12" s="462"/>
    </row>
    <row r="13" spans="2:14" ht="14.4" customHeight="1" x14ac:dyDescent="0.4">
      <c r="B13" s="7" t="s">
        <v>585</v>
      </c>
      <c r="C13" s="998">
        <v>1</v>
      </c>
      <c r="D13" s="999">
        <v>1</v>
      </c>
      <c r="E13" s="556"/>
      <c r="F13" s="553"/>
      <c r="I13" s="462"/>
      <c r="J13" s="462"/>
      <c r="K13" s="462"/>
      <c r="L13" s="462"/>
      <c r="M13" s="462"/>
      <c r="N13" s="462"/>
    </row>
    <row r="14" spans="2:14" ht="14.4" customHeight="1" x14ac:dyDescent="0.4">
      <c r="B14" s="7" t="s">
        <v>586</v>
      </c>
      <c r="C14" s="988">
        <v>0.25</v>
      </c>
      <c r="D14" s="988">
        <v>0.25</v>
      </c>
      <c r="E14" s="473"/>
      <c r="F14" s="553"/>
      <c r="I14" s="462"/>
      <c r="J14" s="462"/>
      <c r="K14" s="462"/>
      <c r="L14" s="462"/>
      <c r="M14" s="462"/>
      <c r="N14" s="462"/>
    </row>
    <row r="15" spans="2:14" ht="14.4" customHeight="1" x14ac:dyDescent="0.4">
      <c r="B15" s="7"/>
      <c r="C15" s="202"/>
      <c r="D15" s="202"/>
      <c r="E15" s="473"/>
      <c r="F15" s="474"/>
      <c r="I15" s="462"/>
      <c r="J15" s="462"/>
      <c r="K15" s="462"/>
      <c r="L15" s="462"/>
      <c r="M15" s="462"/>
      <c r="N15" s="462"/>
    </row>
    <row r="16" spans="2:14" x14ac:dyDescent="0.4">
      <c r="B16" s="7" t="s">
        <v>587</v>
      </c>
      <c r="C16" s="104">
        <f>C11+D11</f>
        <v>7</v>
      </c>
      <c r="F16" s="288"/>
    </row>
    <row r="17" spans="2:14" ht="14.4" customHeight="1" x14ac:dyDescent="0.4">
      <c r="B17" s="7"/>
      <c r="C17" s="473"/>
      <c r="D17" s="473"/>
      <c r="E17" s="473"/>
      <c r="F17" s="475"/>
      <c r="I17" s="462"/>
      <c r="J17" s="462"/>
      <c r="K17" s="462"/>
      <c r="L17" s="462"/>
      <c r="M17" s="462"/>
      <c r="N17" s="462"/>
    </row>
    <row r="18" spans="2:14" ht="14.4" customHeight="1" x14ac:dyDescent="0.4">
      <c r="B18" s="7" t="s">
        <v>588</v>
      </c>
      <c r="C18" s="1004">
        <v>0.57499999999999996</v>
      </c>
      <c r="D18" s="262"/>
      <c r="E18" s="262"/>
      <c r="F18" s="475"/>
      <c r="I18" s="462"/>
      <c r="J18" s="462"/>
      <c r="K18" s="462"/>
      <c r="L18" s="462"/>
      <c r="M18" s="462"/>
      <c r="N18" s="462"/>
    </row>
    <row r="19" spans="2:14" ht="14.4" customHeight="1" x14ac:dyDescent="0.4">
      <c r="B19" s="7" t="s">
        <v>589</v>
      </c>
      <c r="C19" s="1000">
        <v>400</v>
      </c>
      <c r="D19" s="263"/>
      <c r="E19" s="263"/>
      <c r="F19" s="475"/>
      <c r="I19" s="462"/>
      <c r="J19" s="462"/>
      <c r="K19" s="462"/>
      <c r="L19" s="462"/>
      <c r="M19" s="462"/>
      <c r="N19" s="462"/>
    </row>
    <row r="20" spans="2:14" ht="14.4" customHeight="1" x14ac:dyDescent="0.4">
      <c r="B20" s="7" t="s">
        <v>590</v>
      </c>
      <c r="C20" s="1001">
        <v>1</v>
      </c>
      <c r="D20" s="264"/>
      <c r="E20" s="264"/>
      <c r="F20" s="476"/>
      <c r="I20" s="462"/>
      <c r="J20" s="462"/>
      <c r="K20" s="462"/>
      <c r="L20" s="462"/>
      <c r="M20" s="462"/>
      <c r="N20" s="462"/>
    </row>
    <row r="21" spans="2:14" ht="14.4" customHeight="1" x14ac:dyDescent="0.4">
      <c r="B21" s="7" t="s">
        <v>457</v>
      </c>
      <c r="C21" s="1002">
        <v>1</v>
      </c>
      <c r="D21" s="264"/>
      <c r="E21" s="264"/>
      <c r="F21" s="475"/>
      <c r="I21" s="462"/>
      <c r="J21" s="462"/>
      <c r="K21" s="462"/>
      <c r="L21" s="462"/>
      <c r="M21" s="462"/>
      <c r="N21" s="462"/>
    </row>
    <row r="22" spans="2:14" ht="14.4" customHeight="1" x14ac:dyDescent="0.4">
      <c r="B22" s="7" t="s">
        <v>458</v>
      </c>
      <c r="C22" s="1003">
        <v>1</v>
      </c>
      <c r="D22" s="264"/>
      <c r="E22" s="264"/>
      <c r="F22" s="475"/>
      <c r="I22" s="462"/>
      <c r="J22" s="462"/>
      <c r="K22" s="462"/>
      <c r="L22" s="462"/>
      <c r="M22" s="462"/>
      <c r="N22" s="462"/>
    </row>
    <row r="23" spans="2:14" ht="14.4" customHeight="1" x14ac:dyDescent="0.4">
      <c r="B23" s="7"/>
      <c r="C23" s="470"/>
      <c r="D23" s="264"/>
      <c r="E23" s="264"/>
      <c r="F23" s="475"/>
      <c r="I23" s="462"/>
      <c r="J23" s="462"/>
      <c r="K23" s="462"/>
      <c r="L23" s="462"/>
      <c r="M23" s="462"/>
      <c r="N23" s="462"/>
    </row>
    <row r="24" spans="2:14" ht="32.25" customHeight="1" thickBot="1" x14ac:dyDescent="0.45">
      <c r="B24" s="1"/>
      <c r="C24" s="1395" t="s">
        <v>591</v>
      </c>
      <c r="D24" s="1396"/>
      <c r="E24" s="1396"/>
      <c r="F24" s="1397"/>
      <c r="G24" s="469"/>
      <c r="I24" s="462"/>
      <c r="J24" s="462"/>
      <c r="K24" s="462"/>
      <c r="L24" s="462"/>
      <c r="M24" s="462"/>
      <c r="N24" s="462"/>
    </row>
    <row r="25" spans="2:14" ht="31.2" customHeight="1" x14ac:dyDescent="0.55000000000000004">
      <c r="C25" s="116" t="s">
        <v>459</v>
      </c>
      <c r="D25" s="115"/>
      <c r="E25" s="115"/>
      <c r="F25" s="117"/>
      <c r="I25" s="462"/>
      <c r="J25" s="462"/>
      <c r="K25" s="462"/>
      <c r="L25" s="462"/>
      <c r="M25" s="462"/>
      <c r="N25" s="462"/>
    </row>
    <row r="26" spans="2:14" ht="13.2" customHeight="1" x14ac:dyDescent="0.4">
      <c r="C26" s="118"/>
      <c r="D26" s="289" t="s">
        <v>392</v>
      </c>
      <c r="E26" s="289" t="s">
        <v>592</v>
      </c>
      <c r="F26" s="290" t="s">
        <v>334</v>
      </c>
      <c r="I26" s="462"/>
      <c r="J26" s="462"/>
      <c r="K26" s="462"/>
      <c r="L26" s="462"/>
      <c r="M26" s="462"/>
      <c r="N26" s="462"/>
    </row>
    <row r="27" spans="2:14" ht="19.95" customHeight="1" x14ac:dyDescent="0.4">
      <c r="C27" s="265" t="s">
        <v>395</v>
      </c>
      <c r="D27" s="494"/>
      <c r="E27" s="494"/>
      <c r="F27" s="120"/>
      <c r="I27" s="462"/>
      <c r="J27" s="462"/>
      <c r="K27" s="462"/>
      <c r="L27" s="462"/>
      <c r="M27" s="462"/>
      <c r="N27" s="462"/>
    </row>
    <row r="28" spans="2:14" ht="22.95" customHeight="1" x14ac:dyDescent="0.4">
      <c r="C28" s="491" t="s">
        <v>593</v>
      </c>
      <c r="D28" s="42"/>
      <c r="E28" s="42"/>
      <c r="F28" s="43"/>
      <c r="I28" s="462"/>
      <c r="J28" s="462"/>
      <c r="K28" s="462"/>
      <c r="L28" s="462"/>
      <c r="M28" s="462"/>
      <c r="N28" s="462"/>
    </row>
    <row r="29" spans="2:14" ht="14.4" customHeight="1" x14ac:dyDescent="0.4">
      <c r="C29" s="477" t="s">
        <v>594</v>
      </c>
      <c r="D29" s="482">
        <f>10000*C4</f>
        <v>10000</v>
      </c>
      <c r="E29" s="482">
        <v>3000</v>
      </c>
      <c r="F29" s="483" t="s">
        <v>595</v>
      </c>
      <c r="G29" s="19"/>
      <c r="I29" s="462"/>
      <c r="J29" s="462"/>
      <c r="K29" s="462"/>
      <c r="L29" s="462"/>
      <c r="M29" s="462"/>
      <c r="N29" s="462"/>
    </row>
    <row r="30" spans="2:14" ht="33" customHeight="1" x14ac:dyDescent="0.4">
      <c r="C30" s="479" t="s">
        <v>596</v>
      </c>
      <c r="D30" s="482">
        <f>D11*3000</f>
        <v>18000</v>
      </c>
      <c r="E30" s="499"/>
      <c r="F30" s="487" t="s">
        <v>597</v>
      </c>
      <c r="G30" s="19"/>
      <c r="I30" s="462"/>
      <c r="J30" s="462"/>
      <c r="K30" s="462"/>
      <c r="L30" s="462"/>
      <c r="M30" s="462"/>
      <c r="N30" s="462"/>
    </row>
    <row r="31" spans="2:14" ht="27.75" customHeight="1" x14ac:dyDescent="0.4">
      <c r="C31" s="478" t="s">
        <v>598</v>
      </c>
      <c r="D31" s="482">
        <f>4000*C11</f>
        <v>4000</v>
      </c>
      <c r="E31" s="499"/>
      <c r="F31" s="484" t="s">
        <v>599</v>
      </c>
    </row>
    <row r="32" spans="2:14" ht="26.4" x14ac:dyDescent="0.4">
      <c r="C32" s="485" t="s">
        <v>600</v>
      </c>
      <c r="D32" s="486">
        <v>4000</v>
      </c>
      <c r="E32" s="500"/>
      <c r="F32" s="487" t="s">
        <v>601</v>
      </c>
      <c r="G32" s="94"/>
    </row>
    <row r="33" spans="3:7" s="3" customFormat="1" x14ac:dyDescent="0.4">
      <c r="C33" s="488"/>
      <c r="D33" s="489"/>
      <c r="E33" s="501"/>
      <c r="F33" s="490"/>
    </row>
    <row r="34" spans="3:7" x14ac:dyDescent="0.4">
      <c r="C34" s="491" t="s">
        <v>602</v>
      </c>
      <c r="D34" s="492"/>
      <c r="E34" s="492"/>
      <c r="F34" s="493"/>
    </row>
    <row r="35" spans="3:7" ht="17.25" customHeight="1" x14ac:dyDescent="0.4">
      <c r="C35" s="477" t="s">
        <v>594</v>
      </c>
      <c r="D35" s="482">
        <v>10000</v>
      </c>
      <c r="E35" s="482">
        <v>3000</v>
      </c>
      <c r="F35" s="483" t="s">
        <v>595</v>
      </c>
      <c r="G35" s="19"/>
    </row>
    <row r="36" spans="3:7" ht="25.2" customHeight="1" x14ac:dyDescent="0.4">
      <c r="C36" s="479" t="s">
        <v>596</v>
      </c>
      <c r="D36" s="482">
        <f>D11*3000</f>
        <v>18000</v>
      </c>
      <c r="E36" s="499"/>
      <c r="F36" s="487" t="s">
        <v>597</v>
      </c>
      <c r="G36" s="19"/>
    </row>
    <row r="37" spans="3:7" ht="35.25" customHeight="1" x14ac:dyDescent="0.4">
      <c r="C37" s="478" t="s">
        <v>598</v>
      </c>
      <c r="D37" s="482">
        <f>4000*C11</f>
        <v>4000</v>
      </c>
      <c r="E37" s="499"/>
      <c r="F37" s="484" t="s">
        <v>599</v>
      </c>
    </row>
    <row r="38" spans="3:7" x14ac:dyDescent="0.4">
      <c r="C38" s="485" t="s">
        <v>603</v>
      </c>
      <c r="D38" s="482">
        <f>400*C16</f>
        <v>2800</v>
      </c>
      <c r="E38" s="499"/>
      <c r="F38" s="487" t="s">
        <v>604</v>
      </c>
    </row>
    <row r="39" spans="3:7" ht="26.4" x14ac:dyDescent="0.4">
      <c r="C39" s="485" t="s">
        <v>605</v>
      </c>
      <c r="D39" s="486">
        <v>14000</v>
      </c>
      <c r="E39" s="500"/>
      <c r="F39" s="487" t="s">
        <v>606</v>
      </c>
    </row>
    <row r="40" spans="3:7" x14ac:dyDescent="0.4">
      <c r="C40" s="488"/>
      <c r="D40" s="489"/>
      <c r="E40" s="501"/>
      <c r="F40" s="490"/>
    </row>
    <row r="41" spans="3:7" x14ac:dyDescent="0.4">
      <c r="C41" s="491" t="s">
        <v>607</v>
      </c>
      <c r="D41" s="492"/>
      <c r="E41" s="492"/>
      <c r="F41" s="493"/>
    </row>
    <row r="42" spans="3:7" x14ac:dyDescent="0.4">
      <c r="C42" s="477" t="s">
        <v>594</v>
      </c>
      <c r="D42" s="482">
        <v>10000</v>
      </c>
      <c r="E42" s="482">
        <v>3000</v>
      </c>
      <c r="F42" s="483" t="s">
        <v>595</v>
      </c>
      <c r="G42" s="19"/>
    </row>
    <row r="43" spans="3:7" ht="26.4" x14ac:dyDescent="0.4">
      <c r="C43" s="479" t="s">
        <v>596</v>
      </c>
      <c r="D43" s="482">
        <f>D11*3000</f>
        <v>18000</v>
      </c>
      <c r="E43" s="499"/>
      <c r="F43" s="487" t="s">
        <v>597</v>
      </c>
      <c r="G43" s="19"/>
    </row>
    <row r="44" spans="3:7" ht="32.25" customHeight="1" x14ac:dyDescent="0.4">
      <c r="C44" s="478" t="s">
        <v>598</v>
      </c>
      <c r="D44" s="482">
        <f>4000*C11</f>
        <v>4000</v>
      </c>
      <c r="E44" s="499"/>
      <c r="F44" s="484" t="s">
        <v>599</v>
      </c>
    </row>
    <row r="45" spans="3:7" x14ac:dyDescent="0.4">
      <c r="C45" s="108"/>
      <c r="D45" s="109"/>
      <c r="E45" s="502"/>
      <c r="F45" s="110"/>
    </row>
    <row r="46" spans="3:7" x14ac:dyDescent="0.4">
      <c r="C46" s="47" t="s">
        <v>409</v>
      </c>
      <c r="D46" s="12">
        <f>SUM(D29:D45)</f>
        <v>116800</v>
      </c>
      <c r="E46" s="12">
        <f>SUM(E29:E45)</f>
        <v>9000</v>
      </c>
      <c r="F46" s="48"/>
    </row>
    <row r="47" spans="3:7" ht="19.95" customHeight="1" x14ac:dyDescent="0.4">
      <c r="C47" s="265" t="s">
        <v>410</v>
      </c>
      <c r="D47" s="49"/>
      <c r="E47" s="49"/>
      <c r="F47" s="50"/>
    </row>
    <row r="48" spans="3:7" x14ac:dyDescent="0.4">
      <c r="C48" s="51"/>
      <c r="D48" s="13"/>
      <c r="E48" s="13"/>
      <c r="F48" s="26"/>
    </row>
    <row r="49" spans="3:7" x14ac:dyDescent="0.4">
      <c r="C49" s="32" t="s">
        <v>412</v>
      </c>
      <c r="D49" s="9"/>
      <c r="E49" s="9"/>
      <c r="F49" s="26"/>
    </row>
    <row r="50" spans="3:7" x14ac:dyDescent="0.4">
      <c r="C50" s="33" t="s">
        <v>414</v>
      </c>
      <c r="D50" s="10">
        <f>C12*C11*C13</f>
        <v>40000</v>
      </c>
      <c r="E50" s="10">
        <f>C12*C11*C13</f>
        <v>40000</v>
      </c>
      <c r="F50" s="26"/>
    </row>
    <row r="51" spans="3:7" x14ac:dyDescent="0.4">
      <c r="C51" s="33" t="s">
        <v>413</v>
      </c>
      <c r="D51" s="10">
        <f>D12*D11*D13</f>
        <v>210000</v>
      </c>
      <c r="E51" s="10">
        <f>D12*D11*D13</f>
        <v>210000</v>
      </c>
      <c r="F51" s="26"/>
    </row>
    <row r="52" spans="3:7" x14ac:dyDescent="0.4">
      <c r="C52" s="33" t="s">
        <v>572</v>
      </c>
      <c r="D52" s="10">
        <v>0</v>
      </c>
      <c r="E52" s="126">
        <v>0</v>
      </c>
      <c r="F52" s="27"/>
    </row>
    <row r="53" spans="3:7" x14ac:dyDescent="0.4">
      <c r="C53" s="854" t="s">
        <v>415</v>
      </c>
      <c r="D53" s="241">
        <f>(D51*C14)+(D50*D14)</f>
        <v>62500</v>
      </c>
      <c r="E53" s="241">
        <f>(D51*C14)+(D50*D14)</f>
        <v>62500</v>
      </c>
      <c r="F53" s="242"/>
    </row>
    <row r="54" spans="3:7" x14ac:dyDescent="0.4">
      <c r="C54" s="34"/>
      <c r="D54" s="14"/>
      <c r="E54" s="14"/>
      <c r="F54" s="27"/>
    </row>
    <row r="55" spans="3:7" x14ac:dyDescent="0.4">
      <c r="C55" s="32" t="s">
        <v>416</v>
      </c>
      <c r="D55" s="15"/>
      <c r="E55" s="15"/>
      <c r="F55" s="28"/>
    </row>
    <row r="56" spans="3:7" x14ac:dyDescent="0.4">
      <c r="C56" s="52" t="s">
        <v>536</v>
      </c>
      <c r="D56" s="209">
        <f>C18*C19*C16</f>
        <v>1609.9999999999998</v>
      </c>
      <c r="E56" s="209">
        <f>C18*C19*C16</f>
        <v>1609.9999999999998</v>
      </c>
      <c r="F56" s="53"/>
      <c r="G56" s="19"/>
    </row>
    <row r="57" spans="3:7" x14ac:dyDescent="0.4">
      <c r="C57" s="230" t="s">
        <v>421</v>
      </c>
      <c r="D57" s="231">
        <f>C20*C5</f>
        <v>1</v>
      </c>
      <c r="E57" s="261">
        <f>C20*C5</f>
        <v>1</v>
      </c>
      <c r="F57" s="232"/>
      <c r="G57" s="19"/>
    </row>
    <row r="58" spans="3:7" x14ac:dyDescent="0.4">
      <c r="C58" s="227" t="s">
        <v>422</v>
      </c>
      <c r="D58" s="228">
        <f>C21*C5</f>
        <v>1</v>
      </c>
      <c r="E58" s="228">
        <f>C21*C5</f>
        <v>1</v>
      </c>
      <c r="F58" s="229"/>
      <c r="G58" s="19"/>
    </row>
    <row r="59" spans="3:7" x14ac:dyDescent="0.4">
      <c r="C59" s="868" t="s">
        <v>423</v>
      </c>
      <c r="D59" s="240">
        <f>C22*C5</f>
        <v>1</v>
      </c>
      <c r="E59" s="240">
        <f>C22*C5</f>
        <v>1</v>
      </c>
      <c r="F59" s="869"/>
      <c r="G59" s="19"/>
    </row>
    <row r="60" spans="3:7" x14ac:dyDescent="0.4">
      <c r="C60" s="118"/>
      <c r="F60" s="28"/>
    </row>
    <row r="61" spans="3:7" x14ac:dyDescent="0.4">
      <c r="C61" s="54" t="s">
        <v>409</v>
      </c>
      <c r="D61" s="16">
        <f>SUM(D50:D60)</f>
        <v>314113</v>
      </c>
      <c r="E61" s="16">
        <f>SUM(E50:E60)</f>
        <v>314113</v>
      </c>
      <c r="F61" s="55"/>
    </row>
    <row r="62" spans="3:7" x14ac:dyDescent="0.4">
      <c r="C62" s="56"/>
      <c r="D62" s="9"/>
      <c r="E62" s="9"/>
      <c r="F62" s="57"/>
    </row>
    <row r="63" spans="3:7" x14ac:dyDescent="0.4">
      <c r="C63" s="233" t="s">
        <v>424</v>
      </c>
      <c r="D63" s="234">
        <f>D61+D46</f>
        <v>430913</v>
      </c>
      <c r="E63" s="234">
        <f>E61+E46</f>
        <v>323113</v>
      </c>
      <c r="F63" s="235"/>
    </row>
    <row r="64" spans="3:7" x14ac:dyDescent="0.4">
      <c r="C64" s="59"/>
      <c r="D64" s="17"/>
      <c r="E64" s="17"/>
      <c r="F64" s="57"/>
    </row>
    <row r="65" spans="3:7" ht="19.95" customHeight="1" x14ac:dyDescent="0.4">
      <c r="C65" s="265" t="s">
        <v>608</v>
      </c>
      <c r="D65" s="494"/>
      <c r="E65" s="494"/>
      <c r="F65" s="678"/>
    </row>
    <row r="66" spans="3:7" x14ac:dyDescent="0.4">
      <c r="C66" s="32" t="s">
        <v>426</v>
      </c>
      <c r="D66" s="9"/>
      <c r="E66" s="9"/>
      <c r="F66" s="27"/>
    </row>
    <row r="67" spans="3:7" ht="27.6" x14ac:dyDescent="0.4">
      <c r="C67" s="768" t="s">
        <v>539</v>
      </c>
      <c r="D67" s="23">
        <f>(D63*0.1)-D59</f>
        <v>43090.3</v>
      </c>
      <c r="E67" s="614">
        <f>(E63*0.1)-E59</f>
        <v>32310.300000000003</v>
      </c>
      <c r="F67" s="355" t="s">
        <v>609</v>
      </c>
      <c r="G67" s="19"/>
    </row>
    <row r="68" spans="3:7" x14ac:dyDescent="0.4">
      <c r="C68" s="60"/>
      <c r="D68" s="6"/>
      <c r="E68" s="6"/>
      <c r="F68" s="29"/>
    </row>
    <row r="69" spans="3:7" x14ac:dyDescent="0.4">
      <c r="C69" s="233" t="s">
        <v>429</v>
      </c>
      <c r="D69" s="234">
        <f>D67</f>
        <v>43090.3</v>
      </c>
      <c r="E69" s="234">
        <f>E67</f>
        <v>32310.300000000003</v>
      </c>
      <c r="F69" s="55"/>
    </row>
    <row r="70" spans="3:7" x14ac:dyDescent="0.4">
      <c r="C70" s="59"/>
      <c r="D70" s="17"/>
      <c r="E70" s="17"/>
      <c r="F70" s="57"/>
    </row>
    <row r="71" spans="3:7" x14ac:dyDescent="0.4">
      <c r="C71" s="59"/>
      <c r="D71" s="17"/>
      <c r="E71" s="17"/>
      <c r="F71" s="57"/>
    </row>
    <row r="72" spans="3:7" ht="32.4" customHeight="1" x14ac:dyDescent="0.4">
      <c r="C72" s="35" t="s">
        <v>430</v>
      </c>
      <c r="D72" s="20">
        <f>D63+D67</f>
        <v>474003.3</v>
      </c>
      <c r="E72" s="20">
        <f>E69+E67</f>
        <v>64620.600000000006</v>
      </c>
      <c r="F72" s="30"/>
    </row>
    <row r="73" spans="3:7" ht="32.4" customHeight="1" x14ac:dyDescent="0.4">
      <c r="C73" s="61" t="s">
        <v>477</v>
      </c>
      <c r="D73" s="24">
        <f>D72/C7</f>
        <v>3950.0274999999997</v>
      </c>
      <c r="E73" s="24">
        <f>E72/C7</f>
        <v>538.505</v>
      </c>
      <c r="F73" s="62" t="s">
        <v>540</v>
      </c>
    </row>
    <row r="74" spans="3:7" ht="24" customHeight="1" x14ac:dyDescent="0.4">
      <c r="C74" s="404"/>
      <c r="D74" s="405"/>
      <c r="E74" s="405"/>
      <c r="F74" s="406"/>
    </row>
    <row r="75" spans="3:7" ht="16.5" customHeight="1" x14ac:dyDescent="0.4">
      <c r="C75" s="1392" t="s">
        <v>543</v>
      </c>
      <c r="D75" s="1393"/>
      <c r="E75" s="1393"/>
      <c r="F75" s="1394"/>
    </row>
    <row r="76" spans="3:7" ht="16.5" customHeight="1" x14ac:dyDescent="0.4">
      <c r="C76" s="400" t="s">
        <v>610</v>
      </c>
      <c r="D76" s="1141"/>
      <c r="E76" s="1141"/>
      <c r="F76" s="1142"/>
    </row>
    <row r="77" spans="3:7" x14ac:dyDescent="0.4">
      <c r="C77" s="1380" t="s">
        <v>611</v>
      </c>
      <c r="D77" s="1381"/>
      <c r="E77" s="1381"/>
      <c r="F77" s="1382"/>
    </row>
    <row r="78" spans="3:7" x14ac:dyDescent="0.4">
      <c r="C78" s="1383"/>
      <c r="D78" s="1384"/>
      <c r="E78" s="1384"/>
      <c r="F78" s="1385"/>
    </row>
    <row r="79" spans="3:7" ht="16.5" customHeight="1" x14ac:dyDescent="0.4">
      <c r="C79" s="1389" t="s">
        <v>612</v>
      </c>
      <c r="D79" s="1390"/>
      <c r="E79" s="1390"/>
      <c r="F79" s="1391"/>
    </row>
    <row r="80" spans="3:7" x14ac:dyDescent="0.4">
      <c r="C80" s="1143"/>
      <c r="D80" s="1143"/>
      <c r="E80" s="1143"/>
      <c r="F80" s="1143"/>
    </row>
    <row r="81" spans="2:7" x14ac:dyDescent="0.4">
      <c r="C81" s="1358" t="s">
        <v>439</v>
      </c>
      <c r="D81" s="1359"/>
      <c r="E81" s="1359"/>
      <c r="F81" s="1378"/>
    </row>
    <row r="82" spans="2:7" x14ac:dyDescent="0.4">
      <c r="B82"/>
      <c r="C82" s="1360" t="s">
        <v>440</v>
      </c>
      <c r="D82" s="1361"/>
      <c r="E82" s="1361"/>
      <c r="F82" s="1362"/>
    </row>
    <row r="83" spans="2:7" x14ac:dyDescent="0.4">
      <c r="C83" s="1363"/>
      <c r="D83" s="1364"/>
      <c r="E83" s="1364"/>
      <c r="F83" s="1365"/>
    </row>
    <row r="84" spans="2:7" x14ac:dyDescent="0.4">
      <c r="C84" s="1366"/>
      <c r="D84" s="1367"/>
      <c r="E84" s="1367"/>
      <c r="F84" s="1368"/>
    </row>
    <row r="85" spans="2:7" x14ac:dyDescent="0.4">
      <c r="C85" s="1340" t="s">
        <v>613</v>
      </c>
      <c r="D85" s="1341"/>
      <c r="E85" s="1341"/>
      <c r="F85" s="1342"/>
    </row>
    <row r="86" spans="2:7" x14ac:dyDescent="0.4">
      <c r="C86" s="1343" t="s">
        <v>614</v>
      </c>
      <c r="D86" s="1344"/>
      <c r="E86" s="1344"/>
      <c r="F86" s="1345"/>
    </row>
    <row r="87" spans="2:7" x14ac:dyDescent="0.4">
      <c r="C87" s="1343" t="s">
        <v>615</v>
      </c>
      <c r="D87" s="1344"/>
      <c r="E87" s="1344"/>
      <c r="F87" s="1345"/>
    </row>
    <row r="88" spans="2:7" x14ac:dyDescent="0.4">
      <c r="C88" s="1150" t="s">
        <v>616</v>
      </c>
      <c r="D88" s="1151"/>
      <c r="E88" s="1151"/>
      <c r="F88" s="281"/>
    </row>
    <row r="89" spans="2:7" s="279" customFormat="1" ht="20.399999999999999" x14ac:dyDescent="0.45">
      <c r="C89" s="1346" t="s">
        <v>617</v>
      </c>
      <c r="D89" s="1347"/>
      <c r="E89" s="1347"/>
      <c r="F89" s="1348"/>
      <c r="G89" s="3"/>
    </row>
  </sheetData>
  <mergeCells count="14">
    <mergeCell ref="C1:F1"/>
    <mergeCell ref="D5:D6"/>
    <mergeCell ref="C79:F79"/>
    <mergeCell ref="C75:F75"/>
    <mergeCell ref="C24:F24"/>
    <mergeCell ref="C3:E3"/>
    <mergeCell ref="G5:G6"/>
    <mergeCell ref="C89:F89"/>
    <mergeCell ref="C81:F81"/>
    <mergeCell ref="C82:F84"/>
    <mergeCell ref="C85:F85"/>
    <mergeCell ref="C86:F86"/>
    <mergeCell ref="C87:F87"/>
    <mergeCell ref="C77:F78"/>
  </mergeCells>
  <hyperlinks>
    <hyperlink ref="C89:F89" r:id="rId1" display="Click here for more on WSIPP's Family Spirit Benefit-Cost Analysis" xr:uid="{F1DEFBFF-A453-4D1A-A083-65D4EAC87696}"/>
    <hyperlink ref="C76" r:id="rId2" xr:uid="{5586B677-56A7-4A72-815F-12181B2083A1}"/>
  </hyperlinks>
  <pageMargins left="0.7" right="0.7" top="0.75" bottom="0.75" header="0.3" footer="0.3"/>
  <pageSetup scale="45" orientation="portrait" r:id="rId3"/>
  <rowBreaks count="1" manualBreakCount="1">
    <brk id="64" max="5" man="1"/>
  </rowBreaks>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907D338B02894A8FFE7CAA41FCFF08" ma:contentTypeVersion="12" ma:contentTypeDescription="Create a new document." ma:contentTypeScope="" ma:versionID="0be9d8b8b6b183d33426e9c927d82720">
  <xsd:schema xmlns:xsd="http://www.w3.org/2001/XMLSchema" xmlns:xs="http://www.w3.org/2001/XMLSchema" xmlns:p="http://schemas.microsoft.com/office/2006/metadata/properties" xmlns:ns2="11b887a6-5b98-4796-a0da-68962761fd13" xmlns:ns3="eccb8c46-dcc6-46d2-814b-d02f28cb68da" targetNamespace="http://schemas.microsoft.com/office/2006/metadata/properties" ma:root="true" ma:fieldsID="6366186faa623abdf84e07a82723c0fb" ns2:_="" ns3:_="">
    <xsd:import namespace="11b887a6-5b98-4796-a0da-68962761fd13"/>
    <xsd:import namespace="eccb8c46-dcc6-46d2-814b-d02f28cb68da"/>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b887a6-5b98-4796-a0da-68962761fd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ccb8c46-dcc6-46d2-814b-d02f28cb68d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86F95E-BB82-4917-BD48-D8610B281F8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646A885-5DF6-4DDE-A544-09952CDFDB28}">
  <ds:schemaRefs>
    <ds:schemaRef ds:uri="http://schemas.microsoft.com/sharepoint/v3/contenttype/forms"/>
  </ds:schemaRefs>
</ds:datastoreItem>
</file>

<file path=customXml/itemProps3.xml><?xml version="1.0" encoding="utf-8"?>
<ds:datastoreItem xmlns:ds="http://schemas.openxmlformats.org/officeDocument/2006/customXml" ds:itemID="{8E531298-8339-4653-8832-88F148FA26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b887a6-5b98-4796-a0da-68962761fd13"/>
    <ds:schemaRef ds:uri="eccb8c46-dcc6-46d2-814b-d02f28cb68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20</vt:i4>
      </vt:variant>
    </vt:vector>
  </HeadingPairs>
  <TitlesOfParts>
    <vt:vector size="44" baseType="lpstr">
      <vt:lpstr>Table of Contents</vt:lpstr>
      <vt:lpstr>Tool Guide</vt:lpstr>
      <vt:lpstr>Model Overviews</vt:lpstr>
      <vt:lpstr>Model Selection </vt:lpstr>
      <vt:lpstr>BSFT</vt:lpstr>
      <vt:lpstr>Child First</vt:lpstr>
      <vt:lpstr>CPP</vt:lpstr>
      <vt:lpstr>FCU</vt:lpstr>
      <vt:lpstr>Family Spirit</vt:lpstr>
      <vt:lpstr>HFA</vt:lpstr>
      <vt:lpstr>Homebuilders</vt:lpstr>
      <vt:lpstr>FFT, Inc.</vt:lpstr>
      <vt:lpstr>FFT, Partners </vt:lpstr>
      <vt:lpstr>IY-School Age</vt:lpstr>
      <vt:lpstr>IY-Toddler</vt:lpstr>
      <vt:lpstr>NFP</vt:lpstr>
      <vt:lpstr>Intercept</vt:lpstr>
      <vt:lpstr>MI</vt:lpstr>
      <vt:lpstr>MST</vt:lpstr>
      <vt:lpstr>PAT</vt:lpstr>
      <vt:lpstr>PCIT</vt:lpstr>
      <vt:lpstr>SafeCare</vt:lpstr>
      <vt:lpstr>Triple P</vt:lpstr>
      <vt:lpstr>TF-CBT</vt:lpstr>
      <vt:lpstr>BSFT!Print_Area</vt:lpstr>
      <vt:lpstr>'Child First'!Print_Area</vt:lpstr>
      <vt:lpstr>CPP!Print_Area</vt:lpstr>
      <vt:lpstr>'Family Spirit'!Print_Area</vt:lpstr>
      <vt:lpstr>FCU!Print_Area</vt:lpstr>
      <vt:lpstr>'FFT, Inc.'!Print_Area</vt:lpstr>
      <vt:lpstr>HFA!Print_Area</vt:lpstr>
      <vt:lpstr>Homebuilders!Print_Area</vt:lpstr>
      <vt:lpstr>Intercept!Print_Area</vt:lpstr>
      <vt:lpstr>'IY-School Age'!Print_Area</vt:lpstr>
      <vt:lpstr>'IY-Toddler'!Print_Area</vt:lpstr>
      <vt:lpstr>MI!Print_Area</vt:lpstr>
      <vt:lpstr>'Model Overviews'!Print_Area</vt:lpstr>
      <vt:lpstr>MST!Print_Area</vt:lpstr>
      <vt:lpstr>NFP!Print_Area</vt:lpstr>
      <vt:lpstr>PAT!Print_Area</vt:lpstr>
      <vt:lpstr>PCIT!Print_Area</vt:lpstr>
      <vt:lpstr>'Table of Contents'!Print_Area</vt:lpstr>
      <vt:lpstr>'TF-CBT'!Print_Area</vt:lpstr>
      <vt:lpstr>'Tool Guide'!Print_Area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Gore, Kristen</dc:creator>
  <cp:keywords/>
  <dc:description/>
  <cp:lastModifiedBy>Gore, Kristen</cp:lastModifiedBy>
  <cp:revision/>
  <dcterms:created xsi:type="dcterms:W3CDTF">2020-09-17T14:48:36Z</dcterms:created>
  <dcterms:modified xsi:type="dcterms:W3CDTF">2021-11-02T13:15:50Z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0x0101000E907D338B02894A8FFE7CAA41FCFF08</vt:lpwstr>
  </property>
</Properties>
</file>